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regov-my.sharepoint.com/personal/zivojin_stuparevic_mre_gov_rs/Documents/Documents/MRE/TEHNIKA/KALKULATOR USTEDA/"/>
    </mc:Choice>
  </mc:AlternateContent>
  <xr:revisionPtr revIDLastSave="22" documentId="13_ncr:1_{A60D5DB2-2299-4666-A694-EE2DA1C43A2F}" xr6:coauthVersionLast="47" xr6:coauthVersionMax="47" xr10:uidLastSave="{69A6CBEC-6C5C-4BF7-BFBE-4476D093D400}"/>
  <bookViews>
    <workbookView xWindow="28680" yWindow="-120" windowWidth="29040" windowHeight="15720" xr2:uid="{3389170D-6A04-4E12-B92B-7211EAF9A5E0}"/>
  </bookViews>
  <sheets>
    <sheet name="UNOS" sheetId="12" r:id="rId1"/>
    <sheet name="KALKULATOR" sheetId="13" r:id="rId2"/>
    <sheet name="USTEDA" sheetId="15" r:id="rId3"/>
  </sheets>
  <externalReferences>
    <externalReference r:id="rId4"/>
  </externalReferences>
  <definedNames>
    <definedName name="_xlnm._FilterDatabase" localSheetId="1" hidden="1">KALKULATOR!$A$327:$G$327</definedName>
    <definedName name="_xlnm.Print_Area" localSheetId="0">UNOS!$A$1:$J$199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2" l="1"/>
  <c r="F80" i="12"/>
  <c r="F78" i="12"/>
  <c r="F79" i="12"/>
  <c r="I59" i="13"/>
  <c r="M59" i="13" s="1"/>
  <c r="I58" i="13"/>
  <c r="M58" i="13" s="1"/>
  <c r="I57" i="13"/>
  <c r="M57" i="13" s="1"/>
  <c r="I56" i="13"/>
  <c r="M56" i="13" s="1"/>
  <c r="I55" i="13"/>
  <c r="M55" i="13" s="1"/>
  <c r="I54" i="13"/>
  <c r="M54" i="13" s="1"/>
  <c r="I53" i="13"/>
  <c r="M53" i="13" s="1"/>
  <c r="I52" i="13"/>
  <c r="M52" i="13" s="1"/>
  <c r="X47" i="13"/>
  <c r="G58" i="13" s="1"/>
  <c r="X48" i="13"/>
  <c r="X46" i="13"/>
  <c r="G57" i="13" s="1"/>
  <c r="Q45" i="13"/>
  <c r="P45" i="13"/>
  <c r="O45" i="13"/>
  <c r="N45" i="13"/>
  <c r="L45" i="13"/>
  <c r="K45" i="13"/>
  <c r="J45" i="13"/>
  <c r="V56" i="13"/>
  <c r="R52" i="13"/>
  <c r="H45" i="13"/>
  <c r="G56" i="13"/>
  <c r="G54" i="13"/>
  <c r="G53" i="13"/>
  <c r="G52" i="13"/>
  <c r="A464" i="13"/>
  <c r="B464" i="13"/>
  <c r="C464" i="13"/>
  <c r="D464" i="13"/>
  <c r="E464" i="13"/>
  <c r="F464" i="13"/>
  <c r="A465" i="13"/>
  <c r="B465" i="13"/>
  <c r="C465" i="13"/>
  <c r="D465" i="13"/>
  <c r="E465" i="13"/>
  <c r="F465" i="13"/>
  <c r="A466" i="13"/>
  <c r="B466" i="13"/>
  <c r="C466" i="13"/>
  <c r="D466" i="13"/>
  <c r="E466" i="13"/>
  <c r="F466" i="13"/>
  <c r="A467" i="13"/>
  <c r="B467" i="13"/>
  <c r="C467" i="13"/>
  <c r="D467" i="13"/>
  <c r="E467" i="13"/>
  <c r="F467" i="13"/>
  <c r="A468" i="13"/>
  <c r="B468" i="13"/>
  <c r="C468" i="13"/>
  <c r="D468" i="13"/>
  <c r="E468" i="13"/>
  <c r="F468" i="13"/>
  <c r="A469" i="13"/>
  <c r="B469" i="13"/>
  <c r="C469" i="13"/>
  <c r="D469" i="13"/>
  <c r="E469" i="13"/>
  <c r="F469" i="13"/>
  <c r="A470" i="13"/>
  <c r="B470" i="13"/>
  <c r="C470" i="13"/>
  <c r="D470" i="13"/>
  <c r="E470" i="13"/>
  <c r="F470" i="13"/>
  <c r="A471" i="13"/>
  <c r="B471" i="13"/>
  <c r="C471" i="13"/>
  <c r="D471" i="13"/>
  <c r="E471" i="13"/>
  <c r="F471" i="13"/>
  <c r="A472" i="13"/>
  <c r="B472" i="13"/>
  <c r="C472" i="13"/>
  <c r="D472" i="13"/>
  <c r="E472" i="13"/>
  <c r="F472" i="13"/>
  <c r="A473" i="13"/>
  <c r="B473" i="13"/>
  <c r="C473" i="13"/>
  <c r="D473" i="13"/>
  <c r="E473" i="13"/>
  <c r="F473" i="13"/>
  <c r="A474" i="13"/>
  <c r="B474" i="13"/>
  <c r="C474" i="13"/>
  <c r="D474" i="13"/>
  <c r="E474" i="13"/>
  <c r="F474" i="13"/>
  <c r="A475" i="13"/>
  <c r="B475" i="13"/>
  <c r="C475" i="13"/>
  <c r="D475" i="13"/>
  <c r="E475" i="13"/>
  <c r="F475" i="13"/>
  <c r="A476" i="13"/>
  <c r="B476" i="13"/>
  <c r="C476" i="13"/>
  <c r="D476" i="13"/>
  <c r="E476" i="13"/>
  <c r="F476" i="13"/>
  <c r="A477" i="13"/>
  <c r="B477" i="13"/>
  <c r="C477" i="13"/>
  <c r="D477" i="13"/>
  <c r="E477" i="13"/>
  <c r="F477" i="13"/>
  <c r="A478" i="13"/>
  <c r="B478" i="13"/>
  <c r="C478" i="13"/>
  <c r="D478" i="13"/>
  <c r="E478" i="13"/>
  <c r="F478" i="13"/>
  <c r="A479" i="13"/>
  <c r="B479" i="13"/>
  <c r="C479" i="13"/>
  <c r="D479" i="13"/>
  <c r="E479" i="13"/>
  <c r="F479" i="13"/>
  <c r="A480" i="13"/>
  <c r="B480" i="13"/>
  <c r="C480" i="13"/>
  <c r="D480" i="13"/>
  <c r="E480" i="13"/>
  <c r="F480" i="13"/>
  <c r="A481" i="13"/>
  <c r="B481" i="13"/>
  <c r="C481" i="13"/>
  <c r="D481" i="13"/>
  <c r="E481" i="13"/>
  <c r="F481" i="13"/>
  <c r="A482" i="13"/>
  <c r="B482" i="13"/>
  <c r="C482" i="13"/>
  <c r="D482" i="13"/>
  <c r="E482" i="13"/>
  <c r="F482" i="13"/>
  <c r="A483" i="13"/>
  <c r="B483" i="13"/>
  <c r="C483" i="13"/>
  <c r="D483" i="13"/>
  <c r="E483" i="13"/>
  <c r="F483" i="13"/>
  <c r="A484" i="13"/>
  <c r="B484" i="13"/>
  <c r="C484" i="13"/>
  <c r="D484" i="13"/>
  <c r="E484" i="13"/>
  <c r="F484" i="13"/>
  <c r="A485" i="13"/>
  <c r="B485" i="13"/>
  <c r="C485" i="13"/>
  <c r="D485" i="13"/>
  <c r="E485" i="13"/>
  <c r="F485" i="13"/>
  <c r="A486" i="13"/>
  <c r="B486" i="13"/>
  <c r="C486" i="13"/>
  <c r="D486" i="13"/>
  <c r="E486" i="13"/>
  <c r="F486" i="13"/>
  <c r="A487" i="13"/>
  <c r="B487" i="13"/>
  <c r="C487" i="13"/>
  <c r="D487" i="13"/>
  <c r="E487" i="13"/>
  <c r="F487" i="13"/>
  <c r="A488" i="13"/>
  <c r="B488" i="13"/>
  <c r="C488" i="13"/>
  <c r="D488" i="13"/>
  <c r="E488" i="13"/>
  <c r="F488" i="13"/>
  <c r="A489" i="13"/>
  <c r="B489" i="13"/>
  <c r="C489" i="13"/>
  <c r="D489" i="13"/>
  <c r="E489" i="13"/>
  <c r="F489" i="13"/>
  <c r="A490" i="13"/>
  <c r="B490" i="13"/>
  <c r="C490" i="13"/>
  <c r="D490" i="13"/>
  <c r="E490" i="13"/>
  <c r="F490" i="13"/>
  <c r="A491" i="13"/>
  <c r="B491" i="13"/>
  <c r="C491" i="13"/>
  <c r="D491" i="13"/>
  <c r="E491" i="13"/>
  <c r="F491" i="13"/>
  <c r="A492" i="13"/>
  <c r="B492" i="13"/>
  <c r="C492" i="13"/>
  <c r="D492" i="13"/>
  <c r="E492" i="13"/>
  <c r="F492" i="13"/>
  <c r="A493" i="13"/>
  <c r="B493" i="13"/>
  <c r="C493" i="13"/>
  <c r="D493" i="13"/>
  <c r="E493" i="13"/>
  <c r="F493" i="13"/>
  <c r="A494" i="13"/>
  <c r="B494" i="13"/>
  <c r="C494" i="13"/>
  <c r="D494" i="13"/>
  <c r="E494" i="13"/>
  <c r="F494" i="13"/>
  <c r="A495" i="13"/>
  <c r="B495" i="13"/>
  <c r="C495" i="13"/>
  <c r="D495" i="13"/>
  <c r="E495" i="13"/>
  <c r="F495" i="13"/>
  <c r="A496" i="13"/>
  <c r="B496" i="13"/>
  <c r="C496" i="13"/>
  <c r="D496" i="13"/>
  <c r="E496" i="13"/>
  <c r="F496" i="13"/>
  <c r="A497" i="13"/>
  <c r="B497" i="13"/>
  <c r="C497" i="13"/>
  <c r="D497" i="13"/>
  <c r="E497" i="13"/>
  <c r="F497" i="13"/>
  <c r="A498" i="13"/>
  <c r="B498" i="13"/>
  <c r="C498" i="13"/>
  <c r="D498" i="13"/>
  <c r="E498" i="13"/>
  <c r="F498" i="13"/>
  <c r="A499" i="13"/>
  <c r="B499" i="13"/>
  <c r="C499" i="13"/>
  <c r="D499" i="13"/>
  <c r="E499" i="13"/>
  <c r="F499" i="13"/>
  <c r="A500" i="13"/>
  <c r="B500" i="13"/>
  <c r="C500" i="13"/>
  <c r="D500" i="13"/>
  <c r="E500" i="13"/>
  <c r="F500" i="13"/>
  <c r="A501" i="13"/>
  <c r="B501" i="13"/>
  <c r="C501" i="13"/>
  <c r="D501" i="13"/>
  <c r="E501" i="13"/>
  <c r="F501" i="13"/>
  <c r="A502" i="13"/>
  <c r="B502" i="13"/>
  <c r="C502" i="13"/>
  <c r="D502" i="13"/>
  <c r="E502" i="13"/>
  <c r="F502" i="13"/>
  <c r="A503" i="13"/>
  <c r="B503" i="13"/>
  <c r="C503" i="13"/>
  <c r="D503" i="13"/>
  <c r="E503" i="13"/>
  <c r="F503" i="13"/>
  <c r="A504" i="13"/>
  <c r="B504" i="13"/>
  <c r="C504" i="13"/>
  <c r="D504" i="13"/>
  <c r="E504" i="13"/>
  <c r="F504" i="13"/>
  <c r="A505" i="13"/>
  <c r="B505" i="13"/>
  <c r="C505" i="13"/>
  <c r="D505" i="13"/>
  <c r="E505" i="13"/>
  <c r="F505" i="13"/>
  <c r="A506" i="13"/>
  <c r="B506" i="13"/>
  <c r="C506" i="13"/>
  <c r="D506" i="13"/>
  <c r="E506" i="13"/>
  <c r="F506" i="13"/>
  <c r="A507" i="13"/>
  <c r="B507" i="13"/>
  <c r="C507" i="13"/>
  <c r="D507" i="13"/>
  <c r="E507" i="13"/>
  <c r="F507" i="13"/>
  <c r="A508" i="13"/>
  <c r="B508" i="13"/>
  <c r="C508" i="13"/>
  <c r="D508" i="13"/>
  <c r="E508" i="13"/>
  <c r="F508" i="13"/>
  <c r="A509" i="13"/>
  <c r="B509" i="13"/>
  <c r="C509" i="13"/>
  <c r="D509" i="13"/>
  <c r="E509" i="13"/>
  <c r="F509" i="13"/>
  <c r="A510" i="13"/>
  <c r="B510" i="13"/>
  <c r="C510" i="13"/>
  <c r="D510" i="13"/>
  <c r="E510" i="13"/>
  <c r="F510" i="13"/>
  <c r="A511" i="13"/>
  <c r="B511" i="13"/>
  <c r="C511" i="13"/>
  <c r="D511" i="13"/>
  <c r="E511" i="13"/>
  <c r="F511" i="13"/>
  <c r="A327" i="13"/>
  <c r="B327" i="13"/>
  <c r="C327" i="13"/>
  <c r="D327" i="13"/>
  <c r="E327" i="13"/>
  <c r="F327" i="13"/>
  <c r="G327" i="13"/>
  <c r="A328" i="13"/>
  <c r="B328" i="13"/>
  <c r="C328" i="13"/>
  <c r="D328" i="13"/>
  <c r="E328" i="13"/>
  <c r="F328" i="13"/>
  <c r="G328" i="13"/>
  <c r="A329" i="13"/>
  <c r="B329" i="13"/>
  <c r="C329" i="13"/>
  <c r="D329" i="13"/>
  <c r="E329" i="13"/>
  <c r="F329" i="13"/>
  <c r="G329" i="13"/>
  <c r="A330" i="13"/>
  <c r="B330" i="13"/>
  <c r="C330" i="13"/>
  <c r="D330" i="13"/>
  <c r="E330" i="13"/>
  <c r="F330" i="13"/>
  <c r="G330" i="13"/>
  <c r="A331" i="13"/>
  <c r="B331" i="13"/>
  <c r="C331" i="13"/>
  <c r="D331" i="13"/>
  <c r="E331" i="13"/>
  <c r="F331" i="13"/>
  <c r="G331" i="13"/>
  <c r="A332" i="13"/>
  <c r="B332" i="13"/>
  <c r="C332" i="13"/>
  <c r="D332" i="13"/>
  <c r="E332" i="13"/>
  <c r="F332" i="13"/>
  <c r="G332" i="13"/>
  <c r="A333" i="13"/>
  <c r="B333" i="13"/>
  <c r="C333" i="13"/>
  <c r="D333" i="13"/>
  <c r="E333" i="13"/>
  <c r="F333" i="13"/>
  <c r="G333" i="13"/>
  <c r="A334" i="13"/>
  <c r="B334" i="13"/>
  <c r="C334" i="13"/>
  <c r="D334" i="13"/>
  <c r="E334" i="13"/>
  <c r="F334" i="13"/>
  <c r="G334" i="13"/>
  <c r="A335" i="13"/>
  <c r="B335" i="13"/>
  <c r="C335" i="13"/>
  <c r="D335" i="13"/>
  <c r="E335" i="13"/>
  <c r="F335" i="13"/>
  <c r="G335" i="13"/>
  <c r="A336" i="13"/>
  <c r="B336" i="13"/>
  <c r="C336" i="13"/>
  <c r="D336" i="13"/>
  <c r="E336" i="13"/>
  <c r="F336" i="13"/>
  <c r="G336" i="13"/>
  <c r="A337" i="13"/>
  <c r="B337" i="13"/>
  <c r="C337" i="13"/>
  <c r="D337" i="13"/>
  <c r="E337" i="13"/>
  <c r="F337" i="13"/>
  <c r="G337" i="13"/>
  <c r="A338" i="13"/>
  <c r="B338" i="13"/>
  <c r="C338" i="13"/>
  <c r="D338" i="13"/>
  <c r="E338" i="13"/>
  <c r="F338" i="13"/>
  <c r="G338" i="13"/>
  <c r="A339" i="13"/>
  <c r="B339" i="13"/>
  <c r="C339" i="13"/>
  <c r="D339" i="13"/>
  <c r="E339" i="13"/>
  <c r="F339" i="13"/>
  <c r="G339" i="13"/>
  <c r="A340" i="13"/>
  <c r="B340" i="13"/>
  <c r="C340" i="13"/>
  <c r="D340" i="13"/>
  <c r="E340" i="13"/>
  <c r="F340" i="13"/>
  <c r="G340" i="13"/>
  <c r="A341" i="13"/>
  <c r="B341" i="13"/>
  <c r="C341" i="13"/>
  <c r="D341" i="13"/>
  <c r="E341" i="13"/>
  <c r="F341" i="13"/>
  <c r="G341" i="13"/>
  <c r="A342" i="13"/>
  <c r="B342" i="13"/>
  <c r="C342" i="13"/>
  <c r="D342" i="13"/>
  <c r="E342" i="13"/>
  <c r="F342" i="13"/>
  <c r="G342" i="13"/>
  <c r="A343" i="13"/>
  <c r="B343" i="13"/>
  <c r="C343" i="13"/>
  <c r="D343" i="13"/>
  <c r="E343" i="13"/>
  <c r="F343" i="13"/>
  <c r="G343" i="13"/>
  <c r="A344" i="13"/>
  <c r="B344" i="13"/>
  <c r="C344" i="13"/>
  <c r="D344" i="13"/>
  <c r="E344" i="13"/>
  <c r="F344" i="13"/>
  <c r="G344" i="13"/>
  <c r="A345" i="13"/>
  <c r="B345" i="13"/>
  <c r="C345" i="13"/>
  <c r="D345" i="13"/>
  <c r="E345" i="13"/>
  <c r="F345" i="13"/>
  <c r="G345" i="13"/>
  <c r="A346" i="13"/>
  <c r="B346" i="13"/>
  <c r="C346" i="13"/>
  <c r="D346" i="13"/>
  <c r="E346" i="13"/>
  <c r="F346" i="13"/>
  <c r="G346" i="13"/>
  <c r="A347" i="13"/>
  <c r="B347" i="13"/>
  <c r="C347" i="13"/>
  <c r="D347" i="13"/>
  <c r="E347" i="13"/>
  <c r="F347" i="13"/>
  <c r="G347" i="13"/>
  <c r="A348" i="13"/>
  <c r="B348" i="13"/>
  <c r="C348" i="13"/>
  <c r="D348" i="13"/>
  <c r="E348" i="13"/>
  <c r="F348" i="13"/>
  <c r="G348" i="13"/>
  <c r="A349" i="13"/>
  <c r="B349" i="13"/>
  <c r="C349" i="13"/>
  <c r="D349" i="13"/>
  <c r="E349" i="13"/>
  <c r="F349" i="13"/>
  <c r="G349" i="13"/>
  <c r="A350" i="13"/>
  <c r="B350" i="13"/>
  <c r="C350" i="13"/>
  <c r="D350" i="13"/>
  <c r="E350" i="13"/>
  <c r="F350" i="13"/>
  <c r="G350" i="13"/>
  <c r="A351" i="13"/>
  <c r="B351" i="13"/>
  <c r="C351" i="13"/>
  <c r="D351" i="13"/>
  <c r="E351" i="13"/>
  <c r="F351" i="13"/>
  <c r="G351" i="13"/>
  <c r="A352" i="13"/>
  <c r="B352" i="13"/>
  <c r="C352" i="13"/>
  <c r="D352" i="13"/>
  <c r="E352" i="13"/>
  <c r="F352" i="13"/>
  <c r="G352" i="13"/>
  <c r="A353" i="13"/>
  <c r="B353" i="13"/>
  <c r="C353" i="13"/>
  <c r="D353" i="13"/>
  <c r="E353" i="13"/>
  <c r="F353" i="13"/>
  <c r="G353" i="13"/>
  <c r="A354" i="13"/>
  <c r="B354" i="13"/>
  <c r="C354" i="13"/>
  <c r="D354" i="13"/>
  <c r="E354" i="13"/>
  <c r="F354" i="13"/>
  <c r="G354" i="13"/>
  <c r="A355" i="13"/>
  <c r="B355" i="13"/>
  <c r="C355" i="13"/>
  <c r="D355" i="13"/>
  <c r="E355" i="13"/>
  <c r="F355" i="13"/>
  <c r="G355" i="13"/>
  <c r="A356" i="13"/>
  <c r="B356" i="13"/>
  <c r="C356" i="13"/>
  <c r="D356" i="13"/>
  <c r="E356" i="13"/>
  <c r="F356" i="13"/>
  <c r="G356" i="13"/>
  <c r="A357" i="13"/>
  <c r="B357" i="13"/>
  <c r="C357" i="13"/>
  <c r="D357" i="13"/>
  <c r="E357" i="13"/>
  <c r="F357" i="13"/>
  <c r="G357" i="13"/>
  <c r="A358" i="13"/>
  <c r="B358" i="13"/>
  <c r="C358" i="13"/>
  <c r="D358" i="13"/>
  <c r="E358" i="13"/>
  <c r="F358" i="13"/>
  <c r="G358" i="13"/>
  <c r="A359" i="13"/>
  <c r="B359" i="13"/>
  <c r="C359" i="13"/>
  <c r="D359" i="13"/>
  <c r="E359" i="13"/>
  <c r="F359" i="13"/>
  <c r="G359" i="13"/>
  <c r="A360" i="13"/>
  <c r="B360" i="13"/>
  <c r="C360" i="13"/>
  <c r="D360" i="13"/>
  <c r="E360" i="13"/>
  <c r="F360" i="13"/>
  <c r="G360" i="13"/>
  <c r="A361" i="13"/>
  <c r="B361" i="13"/>
  <c r="C361" i="13"/>
  <c r="D361" i="13"/>
  <c r="E361" i="13"/>
  <c r="F361" i="13"/>
  <c r="G361" i="13"/>
  <c r="A362" i="13"/>
  <c r="B362" i="13"/>
  <c r="C362" i="13"/>
  <c r="D362" i="13"/>
  <c r="E362" i="13"/>
  <c r="F362" i="13"/>
  <c r="G362" i="13"/>
  <c r="A363" i="13"/>
  <c r="B363" i="13"/>
  <c r="C363" i="13"/>
  <c r="D363" i="13"/>
  <c r="E363" i="13"/>
  <c r="F363" i="13"/>
  <c r="G363" i="13"/>
  <c r="A364" i="13"/>
  <c r="B364" i="13"/>
  <c r="C364" i="13"/>
  <c r="D364" i="13"/>
  <c r="E364" i="13"/>
  <c r="F364" i="13"/>
  <c r="G364" i="13"/>
  <c r="A365" i="13"/>
  <c r="B365" i="13"/>
  <c r="C365" i="13"/>
  <c r="D365" i="13"/>
  <c r="E365" i="13"/>
  <c r="F365" i="13"/>
  <c r="G365" i="13"/>
  <c r="A366" i="13"/>
  <c r="B366" i="13"/>
  <c r="C366" i="13"/>
  <c r="D366" i="13"/>
  <c r="E366" i="13"/>
  <c r="F366" i="13"/>
  <c r="G366" i="13"/>
  <c r="A367" i="13"/>
  <c r="B367" i="13"/>
  <c r="C367" i="13"/>
  <c r="D367" i="13"/>
  <c r="E367" i="13"/>
  <c r="F367" i="13"/>
  <c r="G367" i="13"/>
  <c r="A368" i="13"/>
  <c r="B368" i="13"/>
  <c r="C368" i="13"/>
  <c r="D368" i="13"/>
  <c r="E368" i="13"/>
  <c r="F368" i="13"/>
  <c r="G368" i="13"/>
  <c r="A369" i="13"/>
  <c r="B369" i="13"/>
  <c r="C369" i="13"/>
  <c r="D369" i="13"/>
  <c r="E369" i="13"/>
  <c r="F369" i="13"/>
  <c r="G369" i="13"/>
  <c r="A370" i="13"/>
  <c r="B370" i="13"/>
  <c r="C370" i="13"/>
  <c r="D370" i="13"/>
  <c r="E370" i="13"/>
  <c r="F370" i="13"/>
  <c r="G370" i="13"/>
  <c r="A371" i="13"/>
  <c r="B371" i="13"/>
  <c r="C371" i="13"/>
  <c r="D371" i="13"/>
  <c r="E371" i="13"/>
  <c r="F371" i="13"/>
  <c r="G371" i="13"/>
  <c r="A372" i="13"/>
  <c r="B372" i="13"/>
  <c r="C372" i="13"/>
  <c r="D372" i="13"/>
  <c r="E372" i="13"/>
  <c r="F372" i="13"/>
  <c r="G372" i="13"/>
  <c r="A373" i="13"/>
  <c r="B373" i="13"/>
  <c r="C373" i="13"/>
  <c r="D373" i="13"/>
  <c r="E373" i="13"/>
  <c r="F373" i="13"/>
  <c r="G373" i="13"/>
  <c r="A374" i="13"/>
  <c r="B374" i="13"/>
  <c r="C374" i="13"/>
  <c r="D374" i="13"/>
  <c r="E374" i="13"/>
  <c r="F374" i="13"/>
  <c r="G374" i="13"/>
  <c r="A375" i="13"/>
  <c r="B375" i="13"/>
  <c r="C375" i="13"/>
  <c r="D375" i="13"/>
  <c r="E375" i="13"/>
  <c r="F375" i="13"/>
  <c r="G375" i="13"/>
  <c r="A376" i="13"/>
  <c r="B376" i="13"/>
  <c r="C376" i="13"/>
  <c r="D376" i="13"/>
  <c r="E376" i="13"/>
  <c r="F376" i="13"/>
  <c r="G376" i="13"/>
  <c r="A377" i="13"/>
  <c r="B377" i="13"/>
  <c r="C377" i="13"/>
  <c r="D377" i="13"/>
  <c r="E377" i="13"/>
  <c r="F377" i="13"/>
  <c r="G377" i="13"/>
  <c r="A378" i="13"/>
  <c r="B378" i="13"/>
  <c r="C378" i="13"/>
  <c r="D378" i="13"/>
  <c r="E378" i="13"/>
  <c r="F378" i="13"/>
  <c r="G378" i="13"/>
  <c r="A379" i="13"/>
  <c r="B379" i="13"/>
  <c r="C379" i="13"/>
  <c r="D379" i="13"/>
  <c r="E379" i="13"/>
  <c r="F379" i="13"/>
  <c r="G379" i="13"/>
  <c r="A380" i="13"/>
  <c r="B380" i="13"/>
  <c r="C380" i="13"/>
  <c r="D380" i="13"/>
  <c r="E380" i="13"/>
  <c r="F380" i="13"/>
  <c r="G380" i="13"/>
  <c r="A381" i="13"/>
  <c r="B381" i="13"/>
  <c r="C381" i="13"/>
  <c r="D381" i="13"/>
  <c r="E381" i="13"/>
  <c r="F381" i="13"/>
  <c r="G381" i="13"/>
  <c r="A382" i="13"/>
  <c r="B382" i="13"/>
  <c r="C382" i="13"/>
  <c r="D382" i="13"/>
  <c r="E382" i="13"/>
  <c r="F382" i="13"/>
  <c r="G382" i="13"/>
  <c r="A383" i="13"/>
  <c r="B383" i="13"/>
  <c r="C383" i="13"/>
  <c r="D383" i="13"/>
  <c r="E383" i="13"/>
  <c r="F383" i="13"/>
  <c r="G383" i="13"/>
  <c r="A384" i="13"/>
  <c r="B384" i="13"/>
  <c r="C384" i="13"/>
  <c r="D384" i="13"/>
  <c r="E384" i="13"/>
  <c r="F384" i="13"/>
  <c r="G384" i="13"/>
  <c r="A385" i="13"/>
  <c r="B385" i="13"/>
  <c r="C385" i="13"/>
  <c r="D385" i="13"/>
  <c r="E385" i="13"/>
  <c r="F385" i="13"/>
  <c r="G385" i="13"/>
  <c r="A386" i="13"/>
  <c r="B386" i="13"/>
  <c r="C386" i="13"/>
  <c r="D386" i="13"/>
  <c r="E386" i="13"/>
  <c r="F386" i="13"/>
  <c r="G386" i="13"/>
  <c r="A387" i="13"/>
  <c r="B387" i="13"/>
  <c r="C387" i="13"/>
  <c r="D387" i="13"/>
  <c r="E387" i="13"/>
  <c r="F387" i="13"/>
  <c r="G387" i="13"/>
  <c r="A388" i="13"/>
  <c r="B388" i="13"/>
  <c r="C388" i="13"/>
  <c r="D388" i="13"/>
  <c r="E388" i="13"/>
  <c r="F388" i="13"/>
  <c r="G388" i="13"/>
  <c r="A389" i="13"/>
  <c r="B389" i="13"/>
  <c r="C389" i="13"/>
  <c r="D389" i="13"/>
  <c r="E389" i="13"/>
  <c r="F389" i="13"/>
  <c r="G389" i="13"/>
  <c r="A390" i="13"/>
  <c r="B390" i="13"/>
  <c r="C390" i="13"/>
  <c r="D390" i="13"/>
  <c r="E390" i="13"/>
  <c r="F390" i="13"/>
  <c r="G390" i="13"/>
  <c r="A391" i="13"/>
  <c r="B391" i="13"/>
  <c r="C391" i="13"/>
  <c r="D391" i="13"/>
  <c r="E391" i="13"/>
  <c r="F391" i="13"/>
  <c r="G391" i="13"/>
  <c r="A392" i="13"/>
  <c r="B392" i="13"/>
  <c r="C392" i="13"/>
  <c r="D392" i="13"/>
  <c r="E392" i="13"/>
  <c r="F392" i="13"/>
  <c r="G392" i="13"/>
  <c r="A393" i="13"/>
  <c r="B393" i="13"/>
  <c r="C393" i="13"/>
  <c r="D393" i="13"/>
  <c r="E393" i="13"/>
  <c r="F393" i="13"/>
  <c r="G393" i="13"/>
  <c r="A394" i="13"/>
  <c r="B394" i="13"/>
  <c r="C394" i="13"/>
  <c r="D394" i="13"/>
  <c r="E394" i="13"/>
  <c r="F394" i="13"/>
  <c r="G394" i="13"/>
  <c r="A395" i="13"/>
  <c r="B395" i="13"/>
  <c r="C395" i="13"/>
  <c r="D395" i="13"/>
  <c r="E395" i="13"/>
  <c r="F395" i="13"/>
  <c r="G395" i="13"/>
  <c r="A396" i="13"/>
  <c r="B396" i="13"/>
  <c r="C396" i="13"/>
  <c r="D396" i="13"/>
  <c r="E396" i="13"/>
  <c r="F396" i="13"/>
  <c r="G396" i="13"/>
  <c r="A397" i="13"/>
  <c r="B397" i="13"/>
  <c r="C397" i="13"/>
  <c r="D397" i="13"/>
  <c r="E397" i="13"/>
  <c r="F397" i="13"/>
  <c r="G397" i="13"/>
  <c r="A398" i="13"/>
  <c r="B398" i="13"/>
  <c r="C398" i="13"/>
  <c r="D398" i="13"/>
  <c r="E398" i="13"/>
  <c r="F398" i="13"/>
  <c r="G398" i="13"/>
  <c r="A399" i="13"/>
  <c r="B399" i="13"/>
  <c r="C399" i="13"/>
  <c r="D399" i="13"/>
  <c r="E399" i="13"/>
  <c r="F399" i="13"/>
  <c r="G399" i="13"/>
  <c r="A400" i="13"/>
  <c r="B400" i="13"/>
  <c r="C400" i="13"/>
  <c r="D400" i="13"/>
  <c r="E400" i="13"/>
  <c r="F400" i="13"/>
  <c r="G400" i="13"/>
  <c r="A401" i="13"/>
  <c r="B401" i="13"/>
  <c r="C401" i="13"/>
  <c r="D401" i="13"/>
  <c r="E401" i="13"/>
  <c r="F401" i="13"/>
  <c r="G401" i="13"/>
  <c r="A402" i="13"/>
  <c r="B402" i="13"/>
  <c r="C402" i="13"/>
  <c r="D402" i="13"/>
  <c r="E402" i="13"/>
  <c r="F402" i="13"/>
  <c r="G402" i="13"/>
  <c r="A403" i="13"/>
  <c r="B403" i="13"/>
  <c r="C403" i="13"/>
  <c r="D403" i="13"/>
  <c r="E403" i="13"/>
  <c r="F403" i="13"/>
  <c r="G403" i="13"/>
  <c r="A404" i="13"/>
  <c r="B404" i="13"/>
  <c r="C404" i="13"/>
  <c r="D404" i="13"/>
  <c r="E404" i="13"/>
  <c r="F404" i="13"/>
  <c r="G404" i="13"/>
  <c r="A405" i="13"/>
  <c r="B405" i="13"/>
  <c r="C405" i="13"/>
  <c r="D405" i="13"/>
  <c r="E405" i="13"/>
  <c r="F405" i="13"/>
  <c r="G405" i="13"/>
  <c r="A406" i="13"/>
  <c r="B406" i="13"/>
  <c r="C406" i="13"/>
  <c r="D406" i="13"/>
  <c r="E406" i="13"/>
  <c r="F406" i="13"/>
  <c r="G406" i="13"/>
  <c r="A407" i="13"/>
  <c r="B407" i="13"/>
  <c r="C407" i="13"/>
  <c r="D407" i="13"/>
  <c r="E407" i="13"/>
  <c r="F407" i="13"/>
  <c r="G407" i="13"/>
  <c r="A408" i="13"/>
  <c r="B408" i="13"/>
  <c r="C408" i="13"/>
  <c r="D408" i="13"/>
  <c r="E408" i="13"/>
  <c r="F408" i="13"/>
  <c r="G408" i="13"/>
  <c r="A409" i="13"/>
  <c r="B409" i="13"/>
  <c r="C409" i="13"/>
  <c r="D409" i="13"/>
  <c r="E409" i="13"/>
  <c r="F409" i="13"/>
  <c r="G409" i="13"/>
  <c r="A410" i="13"/>
  <c r="B410" i="13"/>
  <c r="C410" i="13"/>
  <c r="D410" i="13"/>
  <c r="E410" i="13"/>
  <c r="F410" i="13"/>
  <c r="G410" i="13"/>
  <c r="A411" i="13"/>
  <c r="B411" i="13"/>
  <c r="C411" i="13"/>
  <c r="D411" i="13"/>
  <c r="E411" i="13"/>
  <c r="F411" i="13"/>
  <c r="G411" i="13"/>
  <c r="A412" i="13"/>
  <c r="B412" i="13"/>
  <c r="C412" i="13"/>
  <c r="D412" i="13"/>
  <c r="E412" i="13"/>
  <c r="F412" i="13"/>
  <c r="G412" i="13"/>
  <c r="A413" i="13"/>
  <c r="B413" i="13"/>
  <c r="C413" i="13"/>
  <c r="D413" i="13"/>
  <c r="E413" i="13"/>
  <c r="F413" i="13"/>
  <c r="G413" i="13"/>
  <c r="A414" i="13"/>
  <c r="B414" i="13"/>
  <c r="C414" i="13"/>
  <c r="D414" i="13"/>
  <c r="E414" i="13"/>
  <c r="F414" i="13"/>
  <c r="G414" i="13"/>
  <c r="A415" i="13"/>
  <c r="B415" i="13"/>
  <c r="C415" i="13"/>
  <c r="D415" i="13"/>
  <c r="E415" i="13"/>
  <c r="F415" i="13"/>
  <c r="G415" i="13"/>
  <c r="A416" i="13"/>
  <c r="B416" i="13"/>
  <c r="C416" i="13"/>
  <c r="D416" i="13"/>
  <c r="E416" i="13"/>
  <c r="F416" i="13"/>
  <c r="G416" i="13"/>
  <c r="A417" i="13"/>
  <c r="B417" i="13"/>
  <c r="C417" i="13"/>
  <c r="D417" i="13"/>
  <c r="E417" i="13"/>
  <c r="F417" i="13"/>
  <c r="G417" i="13"/>
  <c r="A418" i="13"/>
  <c r="B418" i="13"/>
  <c r="C418" i="13"/>
  <c r="D418" i="13"/>
  <c r="E418" i="13"/>
  <c r="F418" i="13"/>
  <c r="G418" i="13"/>
  <c r="A419" i="13"/>
  <c r="B419" i="13"/>
  <c r="C419" i="13"/>
  <c r="D419" i="13"/>
  <c r="E419" i="13"/>
  <c r="F419" i="13"/>
  <c r="G419" i="13"/>
  <c r="A420" i="13"/>
  <c r="B420" i="13"/>
  <c r="C420" i="13"/>
  <c r="D420" i="13"/>
  <c r="E420" i="13"/>
  <c r="F420" i="13"/>
  <c r="G420" i="13"/>
  <c r="A421" i="13"/>
  <c r="B421" i="13"/>
  <c r="C421" i="13"/>
  <c r="D421" i="13"/>
  <c r="E421" i="13"/>
  <c r="F421" i="13"/>
  <c r="G421" i="13"/>
  <c r="A422" i="13"/>
  <c r="B422" i="13"/>
  <c r="C422" i="13"/>
  <c r="D422" i="13"/>
  <c r="E422" i="13"/>
  <c r="F422" i="13"/>
  <c r="G422" i="13"/>
  <c r="A423" i="13"/>
  <c r="B423" i="13"/>
  <c r="C423" i="13"/>
  <c r="D423" i="13"/>
  <c r="E423" i="13"/>
  <c r="F423" i="13"/>
  <c r="G423" i="13"/>
  <c r="A424" i="13"/>
  <c r="B424" i="13"/>
  <c r="C424" i="13"/>
  <c r="D424" i="13"/>
  <c r="E424" i="13"/>
  <c r="F424" i="13"/>
  <c r="G424" i="13"/>
  <c r="A425" i="13"/>
  <c r="B425" i="13"/>
  <c r="C425" i="13"/>
  <c r="D425" i="13"/>
  <c r="E425" i="13"/>
  <c r="F425" i="13"/>
  <c r="G425" i="13"/>
  <c r="A426" i="13"/>
  <c r="B426" i="13"/>
  <c r="C426" i="13"/>
  <c r="D426" i="13"/>
  <c r="E426" i="13"/>
  <c r="F426" i="13"/>
  <c r="G426" i="13"/>
  <c r="A427" i="13"/>
  <c r="B427" i="13"/>
  <c r="C427" i="13"/>
  <c r="D427" i="13"/>
  <c r="E427" i="13"/>
  <c r="F427" i="13"/>
  <c r="G427" i="13"/>
  <c r="A428" i="13"/>
  <c r="B428" i="13"/>
  <c r="C428" i="13"/>
  <c r="D428" i="13"/>
  <c r="E428" i="13"/>
  <c r="F428" i="13"/>
  <c r="G428" i="13"/>
  <c r="A429" i="13"/>
  <c r="B429" i="13"/>
  <c r="C429" i="13"/>
  <c r="D429" i="13"/>
  <c r="E429" i="13"/>
  <c r="F429" i="13"/>
  <c r="G429" i="13"/>
  <c r="A430" i="13"/>
  <c r="B430" i="13"/>
  <c r="C430" i="13"/>
  <c r="D430" i="13"/>
  <c r="E430" i="13"/>
  <c r="F430" i="13"/>
  <c r="G430" i="13"/>
  <c r="A431" i="13"/>
  <c r="B431" i="13"/>
  <c r="C431" i="13"/>
  <c r="D431" i="13"/>
  <c r="E431" i="13"/>
  <c r="F431" i="13"/>
  <c r="G431" i="13"/>
  <c r="A432" i="13"/>
  <c r="B432" i="13"/>
  <c r="C432" i="13"/>
  <c r="D432" i="13"/>
  <c r="E432" i="13"/>
  <c r="F432" i="13"/>
  <c r="G432" i="13"/>
  <c r="A433" i="13"/>
  <c r="B433" i="13"/>
  <c r="C433" i="13"/>
  <c r="D433" i="13"/>
  <c r="E433" i="13"/>
  <c r="F433" i="13"/>
  <c r="G433" i="13"/>
  <c r="A434" i="13"/>
  <c r="B434" i="13"/>
  <c r="C434" i="13"/>
  <c r="D434" i="13"/>
  <c r="E434" i="13"/>
  <c r="F434" i="13"/>
  <c r="G434" i="13"/>
  <c r="A435" i="13"/>
  <c r="B435" i="13"/>
  <c r="C435" i="13"/>
  <c r="D435" i="13"/>
  <c r="E435" i="13"/>
  <c r="F435" i="13"/>
  <c r="G435" i="13"/>
  <c r="A436" i="13"/>
  <c r="B436" i="13"/>
  <c r="C436" i="13"/>
  <c r="D436" i="13"/>
  <c r="E436" i="13"/>
  <c r="F436" i="13"/>
  <c r="G436" i="13"/>
  <c r="A437" i="13"/>
  <c r="B437" i="13"/>
  <c r="C437" i="13"/>
  <c r="D437" i="13"/>
  <c r="E437" i="13"/>
  <c r="F437" i="13"/>
  <c r="G437" i="13"/>
  <c r="A438" i="13"/>
  <c r="B438" i="13"/>
  <c r="C438" i="13"/>
  <c r="D438" i="13"/>
  <c r="E438" i="13"/>
  <c r="F438" i="13"/>
  <c r="G438" i="13"/>
  <c r="A439" i="13"/>
  <c r="B439" i="13"/>
  <c r="C439" i="13"/>
  <c r="D439" i="13"/>
  <c r="E439" i="13"/>
  <c r="F439" i="13"/>
  <c r="G439" i="13"/>
  <c r="A440" i="13"/>
  <c r="B440" i="13"/>
  <c r="C440" i="13"/>
  <c r="D440" i="13"/>
  <c r="E440" i="13"/>
  <c r="F440" i="13"/>
  <c r="G440" i="13"/>
  <c r="A441" i="13"/>
  <c r="B441" i="13"/>
  <c r="C441" i="13"/>
  <c r="D441" i="13"/>
  <c r="E441" i="13"/>
  <c r="F441" i="13"/>
  <c r="G441" i="13"/>
  <c r="A442" i="13"/>
  <c r="B442" i="13"/>
  <c r="C442" i="13"/>
  <c r="D442" i="13"/>
  <c r="E442" i="13"/>
  <c r="F442" i="13"/>
  <c r="G442" i="13"/>
  <c r="A443" i="13"/>
  <c r="B443" i="13"/>
  <c r="C443" i="13"/>
  <c r="D443" i="13"/>
  <c r="E443" i="13"/>
  <c r="F443" i="13"/>
  <c r="G443" i="13"/>
  <c r="A444" i="13"/>
  <c r="B444" i="13"/>
  <c r="C444" i="13"/>
  <c r="D444" i="13"/>
  <c r="E444" i="13"/>
  <c r="F444" i="13"/>
  <c r="G444" i="13"/>
  <c r="A445" i="13"/>
  <c r="B445" i="13"/>
  <c r="C445" i="13"/>
  <c r="D445" i="13"/>
  <c r="E445" i="13"/>
  <c r="F445" i="13"/>
  <c r="G445" i="13"/>
  <c r="A446" i="13"/>
  <c r="B446" i="13"/>
  <c r="C446" i="13"/>
  <c r="D446" i="13"/>
  <c r="E446" i="13"/>
  <c r="F446" i="13"/>
  <c r="G446" i="13"/>
  <c r="A447" i="13"/>
  <c r="B447" i="13"/>
  <c r="C447" i="13"/>
  <c r="D447" i="13"/>
  <c r="E447" i="13"/>
  <c r="F447" i="13"/>
  <c r="G447" i="13"/>
  <c r="A448" i="13"/>
  <c r="B448" i="13"/>
  <c r="C448" i="13"/>
  <c r="D448" i="13"/>
  <c r="E448" i="13"/>
  <c r="F448" i="13"/>
  <c r="G448" i="13"/>
  <c r="A449" i="13"/>
  <c r="B449" i="13"/>
  <c r="C449" i="13"/>
  <c r="D449" i="13"/>
  <c r="E449" i="13"/>
  <c r="F449" i="13"/>
  <c r="G449" i="13"/>
  <c r="A450" i="13"/>
  <c r="B450" i="13"/>
  <c r="C450" i="13"/>
  <c r="D450" i="13"/>
  <c r="E450" i="13"/>
  <c r="F450" i="13"/>
  <c r="G450" i="13"/>
  <c r="A451" i="13"/>
  <c r="B451" i="13"/>
  <c r="C451" i="13"/>
  <c r="D451" i="13"/>
  <c r="E451" i="13"/>
  <c r="F451" i="13"/>
  <c r="G451" i="13"/>
  <c r="A452" i="13"/>
  <c r="B452" i="13"/>
  <c r="C452" i="13"/>
  <c r="D452" i="13"/>
  <c r="E452" i="13"/>
  <c r="F452" i="13"/>
  <c r="G452" i="13"/>
  <c r="A453" i="13"/>
  <c r="B453" i="13"/>
  <c r="C453" i="13"/>
  <c r="D453" i="13"/>
  <c r="E453" i="13"/>
  <c r="F453" i="13"/>
  <c r="G453" i="13"/>
  <c r="A454" i="13"/>
  <c r="B454" i="13"/>
  <c r="C454" i="13"/>
  <c r="D454" i="13"/>
  <c r="E454" i="13"/>
  <c r="F454" i="13"/>
  <c r="G454" i="13"/>
  <c r="A455" i="13"/>
  <c r="B455" i="13"/>
  <c r="C455" i="13"/>
  <c r="D455" i="13"/>
  <c r="E455" i="13"/>
  <c r="F455" i="13"/>
  <c r="G455" i="13"/>
  <c r="A456" i="13"/>
  <c r="B456" i="13"/>
  <c r="C456" i="13"/>
  <c r="D456" i="13"/>
  <c r="E456" i="13"/>
  <c r="F456" i="13"/>
  <c r="G456" i="13"/>
  <c r="A457" i="13"/>
  <c r="B457" i="13"/>
  <c r="C457" i="13"/>
  <c r="D457" i="13"/>
  <c r="E457" i="13"/>
  <c r="F457" i="13"/>
  <c r="G457" i="13"/>
  <c r="A458" i="13"/>
  <c r="B458" i="13"/>
  <c r="C458" i="13"/>
  <c r="D458" i="13"/>
  <c r="E458" i="13"/>
  <c r="F458" i="13"/>
  <c r="G458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310" i="13"/>
  <c r="L311" i="13"/>
  <c r="L312" i="13"/>
  <c r="L313" i="13"/>
  <c r="L314" i="13"/>
  <c r="R314" i="13"/>
  <c r="R313" i="13"/>
  <c r="R312" i="13"/>
  <c r="R311" i="13"/>
  <c r="R310" i="13"/>
  <c r="R309" i="13"/>
  <c r="R308" i="13"/>
  <c r="R307" i="13"/>
  <c r="R306" i="13"/>
  <c r="R305" i="13"/>
  <c r="R304" i="13"/>
  <c r="R303" i="13"/>
  <c r="R302" i="13"/>
  <c r="R301" i="13"/>
  <c r="R300" i="13"/>
  <c r="R299" i="13"/>
  <c r="R298" i="13"/>
  <c r="R297" i="13"/>
  <c r="R296" i="13"/>
  <c r="R295" i="13"/>
  <c r="R294" i="13"/>
  <c r="R293" i="13"/>
  <c r="R292" i="13"/>
  <c r="R291" i="13"/>
  <c r="R290" i="13"/>
  <c r="Z261" i="13"/>
  <c r="K267" i="13" s="1"/>
  <c r="AA261" i="13"/>
  <c r="K268" i="13" s="1"/>
  <c r="AB261" i="13"/>
  <c r="AC261" i="13"/>
  <c r="K270" i="13" s="1"/>
  <c r="Z262" i="13"/>
  <c r="L267" i="13" s="1"/>
  <c r="AA262" i="13"/>
  <c r="L268" i="13" s="1"/>
  <c r="AB262" i="13"/>
  <c r="L269" i="13" s="1"/>
  <c r="AC262" i="13"/>
  <c r="L270" i="13" s="1"/>
  <c r="Z263" i="13"/>
  <c r="AA263" i="13"/>
  <c r="M268" i="13" s="1"/>
  <c r="AB263" i="13"/>
  <c r="M269" i="13" s="1"/>
  <c r="AC263" i="13"/>
  <c r="M270" i="13" s="1"/>
  <c r="Z264" i="13"/>
  <c r="N267" i="13" s="1"/>
  <c r="AA264" i="13"/>
  <c r="N268" i="13" s="1"/>
  <c r="AB264" i="13"/>
  <c r="N269" i="13" s="1"/>
  <c r="AC264" i="13"/>
  <c r="N270" i="13" s="1"/>
  <c r="Z265" i="13"/>
  <c r="O267" i="13" s="1"/>
  <c r="AA265" i="13"/>
  <c r="O268" i="13" s="1"/>
  <c r="AB265" i="13"/>
  <c r="O269" i="13" s="1"/>
  <c r="AC265" i="13"/>
  <c r="O270" i="13" s="1"/>
  <c r="Z266" i="13"/>
  <c r="P267" i="13" s="1"/>
  <c r="AA266" i="13"/>
  <c r="AB266" i="13"/>
  <c r="P269" i="13" s="1"/>
  <c r="AC266" i="13"/>
  <c r="P270" i="13" s="1"/>
  <c r="Z267" i="13"/>
  <c r="Q267" i="13" s="1"/>
  <c r="AA267" i="13"/>
  <c r="Q268" i="13" s="1"/>
  <c r="AB267" i="13"/>
  <c r="Q269" i="13" s="1"/>
  <c r="AC267" i="13"/>
  <c r="Q270" i="13" s="1"/>
  <c r="Z268" i="13"/>
  <c r="R267" i="13" s="1"/>
  <c r="AA268" i="13"/>
  <c r="R268" i="13" s="1"/>
  <c r="AB268" i="13"/>
  <c r="R269" i="13" s="1"/>
  <c r="AC268" i="13"/>
  <c r="R270" i="13" s="1"/>
  <c r="Z269" i="13"/>
  <c r="S267" i="13" s="1"/>
  <c r="AA269" i="13"/>
  <c r="S268" i="13" s="1"/>
  <c r="AB269" i="13"/>
  <c r="AC269" i="13"/>
  <c r="S270" i="13" s="1"/>
  <c r="Z270" i="13"/>
  <c r="AA270" i="13"/>
  <c r="T268" i="13" s="1"/>
  <c r="AB270" i="13"/>
  <c r="T269" i="13" s="1"/>
  <c r="AC270" i="13"/>
  <c r="T270" i="13" s="1"/>
  <c r="Z271" i="13"/>
  <c r="U267" i="13" s="1"/>
  <c r="AA271" i="13"/>
  <c r="U268" i="13" s="1"/>
  <c r="AB271" i="13"/>
  <c r="U269" i="13" s="1"/>
  <c r="AC271" i="13"/>
  <c r="U270" i="13" s="1"/>
  <c r="Z272" i="13"/>
  <c r="V267" i="13" s="1"/>
  <c r="AA272" i="13"/>
  <c r="V268" i="13" s="1"/>
  <c r="AB272" i="13"/>
  <c r="V269" i="13" s="1"/>
  <c r="AC272" i="13"/>
  <c r="V270" i="13" s="1"/>
  <c r="Z273" i="13"/>
  <c r="AA273" i="13"/>
  <c r="AB273" i="13"/>
  <c r="AC273" i="13"/>
  <c r="T267" i="13"/>
  <c r="B262" i="13"/>
  <c r="B257" i="13"/>
  <c r="B258" i="13"/>
  <c r="B259" i="13"/>
  <c r="AG58" i="13"/>
  <c r="AH58" i="13"/>
  <c r="AG59" i="13"/>
  <c r="AH59" i="13"/>
  <c r="AG60" i="13"/>
  <c r="AH60" i="13"/>
  <c r="AG52" i="13"/>
  <c r="AH52" i="13"/>
  <c r="AI52" i="13"/>
  <c r="AJ52" i="13"/>
  <c r="AK52" i="13"/>
  <c r="AG53" i="13"/>
  <c r="AH53" i="13"/>
  <c r="AI53" i="13"/>
  <c r="AJ53" i="13"/>
  <c r="AK53" i="13"/>
  <c r="AB52" i="13"/>
  <c r="AB53" i="13"/>
  <c r="AB54" i="13"/>
  <c r="AB55" i="13"/>
  <c r="AB56" i="13"/>
  <c r="AB57" i="13"/>
  <c r="AB58" i="13"/>
  <c r="AB59" i="13"/>
  <c r="L82" i="13"/>
  <c r="M82" i="13"/>
  <c r="N82" i="13"/>
  <c r="L83" i="13"/>
  <c r="M83" i="13"/>
  <c r="N83" i="13"/>
  <c r="L84" i="13"/>
  <c r="M84" i="13"/>
  <c r="N84" i="13"/>
  <c r="L75" i="13"/>
  <c r="L76" i="13"/>
  <c r="L77" i="13"/>
  <c r="L71" i="13"/>
  <c r="L72" i="13"/>
  <c r="L73" i="13"/>
  <c r="L65" i="13"/>
  <c r="L66" i="13"/>
  <c r="V52" i="13"/>
  <c r="V53" i="13"/>
  <c r="V54" i="13"/>
  <c r="V55" i="13"/>
  <c r="V57" i="13"/>
  <c r="V58" i="13"/>
  <c r="V59" i="13"/>
  <c r="S52" i="13"/>
  <c r="R53" i="13"/>
  <c r="S53" i="13"/>
  <c r="R54" i="13"/>
  <c r="S54" i="13"/>
  <c r="R55" i="13"/>
  <c r="S55" i="13"/>
  <c r="R56" i="13"/>
  <c r="S56" i="13"/>
  <c r="R57" i="13"/>
  <c r="S57" i="13"/>
  <c r="R58" i="13"/>
  <c r="S58" i="13"/>
  <c r="R59" i="13"/>
  <c r="S59" i="13"/>
  <c r="Q52" i="13"/>
  <c r="Q53" i="13"/>
  <c r="Q54" i="13"/>
  <c r="Q55" i="13"/>
  <c r="Q56" i="13"/>
  <c r="Q57" i="13"/>
  <c r="Q58" i="13"/>
  <c r="Q59" i="13"/>
  <c r="O52" i="13"/>
  <c r="O53" i="13"/>
  <c r="O54" i="13"/>
  <c r="O55" i="13"/>
  <c r="O56" i="13"/>
  <c r="O57" i="13"/>
  <c r="O58" i="13"/>
  <c r="O59" i="13"/>
  <c r="AE38" i="13"/>
  <c r="H58" i="13" s="1"/>
  <c r="L58" i="13" s="1"/>
  <c r="AE39" i="13"/>
  <c r="X38" i="13"/>
  <c r="X39" i="13"/>
  <c r="X40" i="13"/>
  <c r="X41" i="13"/>
  <c r="X42" i="13"/>
  <c r="X43" i="13"/>
  <c r="X44" i="13"/>
  <c r="X45" i="13"/>
  <c r="G55" i="13" s="1"/>
  <c r="P38" i="13"/>
  <c r="Q38" i="13"/>
  <c r="P39" i="13"/>
  <c r="Q39" i="13"/>
  <c r="P40" i="13"/>
  <c r="Q40" i="13"/>
  <c r="P41" i="13"/>
  <c r="Q41" i="13"/>
  <c r="P42" i="13"/>
  <c r="Q42" i="13"/>
  <c r="P43" i="13"/>
  <c r="Q43" i="13"/>
  <c r="P44" i="13"/>
  <c r="Q44" i="13"/>
  <c r="N38" i="13"/>
  <c r="O38" i="13"/>
  <c r="N39" i="13"/>
  <c r="O39" i="13"/>
  <c r="N40" i="13"/>
  <c r="O40" i="13"/>
  <c r="N41" i="13"/>
  <c r="O41" i="13"/>
  <c r="N42" i="13"/>
  <c r="O42" i="13"/>
  <c r="N43" i="13"/>
  <c r="O43" i="13"/>
  <c r="N44" i="13"/>
  <c r="O44" i="13"/>
  <c r="M45" i="13"/>
  <c r="M44" i="13"/>
  <c r="L44" i="13"/>
  <c r="M43" i="13"/>
  <c r="L43" i="13"/>
  <c r="M42" i="13"/>
  <c r="L42" i="13"/>
  <c r="M41" i="13"/>
  <c r="L41" i="13"/>
  <c r="M40" i="13"/>
  <c r="L40" i="13"/>
  <c r="M39" i="13"/>
  <c r="M38" i="13"/>
  <c r="L38" i="13"/>
  <c r="J38" i="13"/>
  <c r="K38" i="13"/>
  <c r="J39" i="13"/>
  <c r="K39" i="13"/>
  <c r="J40" i="13"/>
  <c r="K40" i="13"/>
  <c r="J41" i="13"/>
  <c r="K41" i="13"/>
  <c r="J42" i="13"/>
  <c r="K42" i="13"/>
  <c r="J43" i="13"/>
  <c r="K43" i="13"/>
  <c r="J44" i="13"/>
  <c r="K44" i="13"/>
  <c r="I45" i="13"/>
  <c r="I44" i="13"/>
  <c r="H44" i="13"/>
  <c r="I43" i="13"/>
  <c r="H43" i="13"/>
  <c r="I42" i="13"/>
  <c r="H42" i="13"/>
  <c r="I41" i="13"/>
  <c r="H41" i="13"/>
  <c r="I40" i="13"/>
  <c r="H40" i="13"/>
  <c r="I39" i="13"/>
  <c r="H39" i="13"/>
  <c r="I38" i="13"/>
  <c r="H38" i="13"/>
  <c r="C45" i="13"/>
  <c r="C44" i="13"/>
  <c r="C43" i="13"/>
  <c r="C42" i="13"/>
  <c r="C41" i="13"/>
  <c r="C40" i="13"/>
  <c r="C39" i="13"/>
  <c r="C38" i="13"/>
  <c r="C28" i="13"/>
  <c r="M134" i="12"/>
  <c r="H52" i="13" l="1"/>
  <c r="L52" i="13" s="1"/>
  <c r="H55" i="13"/>
  <c r="L55" i="13" s="1"/>
  <c r="H56" i="13"/>
  <c r="L56" i="13" s="1"/>
  <c r="H59" i="13"/>
  <c r="L59" i="13" s="1"/>
  <c r="H53" i="13"/>
  <c r="L53" i="13" s="1"/>
  <c r="H57" i="13"/>
  <c r="L57" i="13" s="1"/>
  <c r="H54" i="13"/>
  <c r="L54" i="13" s="1"/>
  <c r="F81" i="12"/>
  <c r="L39" i="13"/>
  <c r="AD263" i="13"/>
  <c r="AD262" i="13"/>
  <c r="M267" i="13"/>
  <c r="AD267" i="13"/>
  <c r="AD266" i="13"/>
  <c r="AD271" i="13"/>
  <c r="AD268" i="13"/>
  <c r="AD269" i="13"/>
  <c r="AD265" i="13"/>
  <c r="AD261" i="13"/>
  <c r="F459" i="13"/>
  <c r="K269" i="13"/>
  <c r="P268" i="13"/>
  <c r="AD264" i="13"/>
  <c r="AD272" i="13"/>
  <c r="AD270" i="13"/>
  <c r="S269" i="13"/>
  <c r="M28" i="12"/>
  <c r="C33" i="13"/>
  <c r="K157" i="12"/>
  <c r="K150" i="12"/>
  <c r="K144" i="12"/>
  <c r="K137" i="12"/>
  <c r="C137" i="12"/>
  <c r="F25" i="15" l="1"/>
  <c r="E25" i="15"/>
  <c r="D25" i="15"/>
  <c r="M71" i="12"/>
  <c r="M81" i="12"/>
  <c r="M69" i="12"/>
  <c r="C190" i="12"/>
  <c r="M18" i="12" l="1"/>
  <c r="M16" i="12"/>
  <c r="M15" i="12"/>
  <c r="L124" i="12"/>
  <c r="F23" i="15" s="1"/>
  <c r="K124" i="12"/>
  <c r="E23" i="15" s="1"/>
  <c r="P121" i="12"/>
  <c r="M121" i="12"/>
  <c r="M133" i="12" l="1"/>
  <c r="M132" i="12"/>
  <c r="M131" i="12"/>
  <c r="M127" i="12"/>
  <c r="M149" i="12"/>
  <c r="P120" i="12"/>
  <c r="P119" i="12"/>
  <c r="P118" i="12"/>
  <c r="M120" i="12"/>
  <c r="M119" i="12"/>
  <c r="M118" i="12"/>
  <c r="M77" i="12"/>
  <c r="M60" i="12"/>
  <c r="K6" i="12" l="1"/>
  <c r="K5" i="12"/>
  <c r="K4" i="12"/>
  <c r="K3" i="12"/>
  <c r="B291" i="13"/>
  <c r="L185" i="12"/>
  <c r="L184" i="12"/>
  <c r="M190" i="12"/>
  <c r="M189" i="12"/>
  <c r="M188" i="12"/>
  <c r="M182" i="12"/>
  <c r="M181" i="12"/>
  <c r="M186" i="12"/>
  <c r="M178" i="12"/>
  <c r="M177" i="12"/>
  <c r="M73" i="12"/>
  <c r="M173" i="12"/>
  <c r="B256" i="13"/>
  <c r="B261" i="13"/>
  <c r="M184" i="12" l="1"/>
  <c r="M68" i="12"/>
  <c r="L72" i="12"/>
  <c r="L71" i="12"/>
  <c r="L63" i="12"/>
  <c r="L62" i="12"/>
  <c r="L57" i="12"/>
  <c r="L56" i="12"/>
  <c r="L55" i="12"/>
  <c r="L27" i="12"/>
  <c r="L26" i="12"/>
  <c r="L25" i="12"/>
  <c r="L12" i="12"/>
  <c r="L11" i="12"/>
  <c r="L10" i="12"/>
  <c r="L9" i="12"/>
  <c r="J26" i="15"/>
  <c r="C120" i="13"/>
  <c r="D120" i="13"/>
  <c r="E120" i="13"/>
  <c r="F120" i="13"/>
  <c r="B120" i="13"/>
  <c r="M62" i="12" l="1"/>
  <c r="M9" i="12"/>
  <c r="M25" i="12"/>
  <c r="L37" i="12"/>
  <c r="H21" i="15" l="1"/>
  <c r="C31" i="13"/>
  <c r="C30" i="13"/>
  <c r="L26" i="15"/>
  <c r="K26" i="15"/>
  <c r="I26" i="15"/>
  <c r="H26" i="15"/>
  <c r="G26" i="15"/>
  <c r="F26" i="15"/>
  <c r="E26" i="15"/>
  <c r="D26" i="15"/>
  <c r="L23" i="15"/>
  <c r="K23" i="15"/>
  <c r="J23" i="15"/>
  <c r="I23" i="15"/>
  <c r="H23" i="15"/>
  <c r="G23" i="15"/>
  <c r="I25" i="15"/>
  <c r="H25" i="15"/>
  <c r="G25" i="15"/>
  <c r="D23" i="15"/>
  <c r="H69" i="12"/>
  <c r="H60" i="12"/>
  <c r="I117" i="12"/>
  <c r="H117" i="12"/>
  <c r="G117" i="12"/>
  <c r="F117" i="12"/>
  <c r="E117" i="12"/>
  <c r="L116" i="12"/>
  <c r="L23" i="12"/>
  <c r="L22" i="12"/>
  <c r="L21" i="12"/>
  <c r="L20" i="12"/>
  <c r="L19" i="12"/>
  <c r="L18" i="12"/>
  <c r="L17" i="12"/>
  <c r="L16" i="12"/>
  <c r="L15" i="12"/>
  <c r="L14" i="12"/>
  <c r="E27" i="15" l="1"/>
  <c r="G27" i="15"/>
  <c r="H27" i="15"/>
  <c r="F27" i="15"/>
  <c r="M23" i="12"/>
  <c r="D27" i="15"/>
  <c r="M55" i="12"/>
  <c r="M17" i="12"/>
  <c r="M20" i="12"/>
  <c r="I27" i="15"/>
  <c r="J25" i="15"/>
  <c r="M14" i="12"/>
  <c r="M38" i="12"/>
  <c r="M39" i="12"/>
  <c r="C32" i="13"/>
  <c r="C23" i="15"/>
  <c r="B202" i="13"/>
  <c r="B183" i="13"/>
  <c r="B165" i="13"/>
  <c r="B225" i="13"/>
  <c r="J27" i="15" l="1"/>
  <c r="B215" i="13"/>
  <c r="D116" i="13" l="1"/>
  <c r="D111" i="13"/>
  <c r="D110" i="13"/>
  <c r="D117" i="13" s="1"/>
  <c r="D109" i="13"/>
  <c r="F116" i="13"/>
  <c r="F111" i="13"/>
  <c r="F110" i="13"/>
  <c r="F117" i="13" s="1"/>
  <c r="F109" i="13"/>
  <c r="B79" i="13" l="1"/>
  <c r="B71" i="13"/>
  <c r="B295" i="13" l="1"/>
  <c r="B298" i="13"/>
  <c r="B293" i="13"/>
  <c r="B289" i="13"/>
  <c r="B290" i="13"/>
  <c r="B292" i="13" s="1"/>
  <c r="L21" i="15" s="1"/>
  <c r="E111" i="13"/>
  <c r="B111" i="13"/>
  <c r="L115" i="12"/>
  <c r="L114" i="12"/>
  <c r="L113" i="12"/>
  <c r="L112" i="12"/>
  <c r="L111" i="12"/>
  <c r="L110" i="12"/>
  <c r="L109" i="12"/>
  <c r="L108" i="12"/>
  <c r="L107" i="12"/>
  <c r="L106" i="12"/>
  <c r="L105" i="12"/>
  <c r="L104" i="12"/>
  <c r="L103" i="12"/>
  <c r="L102" i="12"/>
  <c r="L101" i="12"/>
  <c r="L100" i="12"/>
  <c r="L99" i="12"/>
  <c r="L98" i="12"/>
  <c r="L97" i="12"/>
  <c r="L96" i="12"/>
  <c r="L95" i="12"/>
  <c r="L93" i="12"/>
  <c r="L92" i="12"/>
  <c r="L91" i="12"/>
  <c r="L90" i="12"/>
  <c r="L89" i="12"/>
  <c r="L88" i="12"/>
  <c r="L87" i="12"/>
  <c r="K94" i="12"/>
  <c r="L94" i="12" s="1"/>
  <c r="L36" i="12"/>
  <c r="L35" i="12"/>
  <c r="L34" i="12"/>
  <c r="L33" i="12"/>
  <c r="L32" i="12"/>
  <c r="L31" i="12"/>
  <c r="L30" i="12"/>
  <c r="M180" i="12" l="1"/>
  <c r="L25" i="15"/>
  <c r="M30" i="12"/>
  <c r="D114" i="13"/>
  <c r="F114" i="13"/>
  <c r="B303" i="13"/>
  <c r="C27" i="13" a="1"/>
  <c r="C27" i="13" s="1"/>
  <c r="B299" i="13"/>
  <c r="B306" i="13" s="1"/>
  <c r="B78" i="13"/>
  <c r="B70" i="13"/>
  <c r="B288" i="13"/>
  <c r="B294" i="13" s="1"/>
  <c r="B297" i="13" s="1"/>
  <c r="L11" i="15" s="1"/>
  <c r="L27" i="15" l="1"/>
  <c r="E45" i="13"/>
  <c r="E43" i="13"/>
  <c r="E38" i="13"/>
  <c r="B296" i="13"/>
  <c r="B301" i="13"/>
  <c r="B308" i="13" s="1"/>
  <c r="O271" i="13"/>
  <c r="O261" i="13" s="1"/>
  <c r="N271" i="13"/>
  <c r="N261" i="13" s="1"/>
  <c r="L51" i="12"/>
  <c r="L50" i="12"/>
  <c r="L49" i="12"/>
  <c r="L48" i="12"/>
  <c r="L47" i="12"/>
  <c r="L46" i="12"/>
  <c r="L45" i="12"/>
  <c r="L44" i="12"/>
  <c r="M44" i="12" l="1"/>
  <c r="L2" i="12" s="1"/>
  <c r="M51" i="12"/>
  <c r="C29" i="13" a="1"/>
  <c r="C29" i="13" s="1"/>
  <c r="L13" i="15"/>
  <c r="B309" i="13"/>
  <c r="L19" i="15" s="1"/>
  <c r="P271" i="13"/>
  <c r="P261" i="13" s="1"/>
  <c r="Q271" i="13"/>
  <c r="Q261" i="13" s="1"/>
  <c r="R271" i="13"/>
  <c r="R261" i="13" s="1"/>
  <c r="L271" i="13"/>
  <c r="L261" i="13" s="1"/>
  <c r="M271" i="13"/>
  <c r="M261" i="13" s="1"/>
  <c r="V271" i="13"/>
  <c r="V261" i="13" s="1"/>
  <c r="B305" i="13"/>
  <c r="L15" i="15" s="1"/>
  <c r="L17" i="15"/>
  <c r="B300" i="13"/>
  <c r="B307" i="13" s="1"/>
  <c r="B304" i="13"/>
  <c r="K271" i="13"/>
  <c r="K261" i="13" s="1"/>
  <c r="S271" i="13"/>
  <c r="S261" i="13" s="1"/>
  <c r="T271" i="13"/>
  <c r="T261" i="13" s="1"/>
  <c r="U271" i="13"/>
  <c r="U261" i="13" s="1"/>
  <c r="B205" i="13"/>
  <c r="B186" i="13"/>
  <c r="B168" i="13"/>
  <c r="B66" i="13"/>
  <c r="B105" i="13"/>
  <c r="B104" i="13"/>
  <c r="B160" i="13"/>
  <c r="B178" i="13"/>
  <c r="B197" i="13"/>
  <c r="B9" i="13"/>
  <c r="W55" i="13"/>
  <c r="W58" i="13"/>
  <c r="B207" i="13" s="1"/>
  <c r="W59" i="13"/>
  <c r="B260" i="13"/>
  <c r="L169" i="12"/>
  <c r="L168" i="12"/>
  <c r="L167" i="12"/>
  <c r="L166" i="12"/>
  <c r="L165" i="12"/>
  <c r="L164" i="12"/>
  <c r="L163" i="12"/>
  <c r="O262" i="13"/>
  <c r="B254" i="13"/>
  <c r="B249" i="13" l="1"/>
  <c r="M163" i="12"/>
  <c r="B143" i="13"/>
  <c r="N263" i="13"/>
  <c r="B263" i="13"/>
  <c r="K21" i="15" s="1"/>
  <c r="K263" i="13"/>
  <c r="D58" i="13"/>
  <c r="B217" i="13"/>
  <c r="B216" i="13"/>
  <c r="B224" i="13"/>
  <c r="B218" i="13"/>
  <c r="B222" i="13" s="1"/>
  <c r="D55" i="13"/>
  <c r="D57" i="13"/>
  <c r="X57" i="13" s="1"/>
  <c r="D54" i="13"/>
  <c r="E54" i="13" s="1"/>
  <c r="F112" i="13"/>
  <c r="E112" i="13"/>
  <c r="B198" i="13"/>
  <c r="B204" i="13"/>
  <c r="B200" i="13"/>
  <c r="B199" i="13"/>
  <c r="B185" i="13"/>
  <c r="B181" i="13"/>
  <c r="B180" i="13"/>
  <c r="B179" i="13"/>
  <c r="B161" i="13"/>
  <c r="B167" i="13"/>
  <c r="B163" i="13"/>
  <c r="B162" i="13"/>
  <c r="D112" i="13"/>
  <c r="C112" i="13"/>
  <c r="B112" i="13"/>
  <c r="B255" i="13" a="1"/>
  <c r="B255" i="13" s="1"/>
  <c r="B235" i="13"/>
  <c r="B220" i="13"/>
  <c r="V263" i="13"/>
  <c r="M263" i="13"/>
  <c r="L263" i="13"/>
  <c r="R263" i="13"/>
  <c r="Q263" i="13"/>
  <c r="T263" i="13"/>
  <c r="P263" i="13"/>
  <c r="S263" i="13"/>
  <c r="O263" i="13"/>
  <c r="U263" i="13"/>
  <c r="V262" i="13"/>
  <c r="N262" i="13"/>
  <c r="U262" i="13"/>
  <c r="M262" i="13"/>
  <c r="K262" i="13"/>
  <c r="S262" i="13"/>
  <c r="R262" i="13"/>
  <c r="Q262" i="13"/>
  <c r="P262" i="13"/>
  <c r="T262" i="13"/>
  <c r="L262" i="13"/>
  <c r="T52" i="13"/>
  <c r="W52" i="13" s="1"/>
  <c r="T56" i="13"/>
  <c r="W56" i="13" s="1"/>
  <c r="T57" i="13"/>
  <c r="W57" i="13" s="1"/>
  <c r="T54" i="13"/>
  <c r="W54" i="13" s="1"/>
  <c r="T53" i="13"/>
  <c r="W53" i="13" s="1"/>
  <c r="B132" i="13"/>
  <c r="E116" i="13"/>
  <c r="B88" i="13"/>
  <c r="K59" i="13" l="1"/>
  <c r="K54" i="13"/>
  <c r="K53" i="13"/>
  <c r="K58" i="13"/>
  <c r="K56" i="13"/>
  <c r="K55" i="13"/>
  <c r="K52" i="13"/>
  <c r="K57" i="13"/>
  <c r="B221" i="13"/>
  <c r="K25" i="15"/>
  <c r="C21" i="15"/>
  <c r="E58" i="13"/>
  <c r="C58" i="13"/>
  <c r="C57" i="13"/>
  <c r="Y54" i="13"/>
  <c r="AD58" i="13"/>
  <c r="C55" i="13"/>
  <c r="Y58" i="13"/>
  <c r="Y57" i="13"/>
  <c r="AC57" i="13"/>
  <c r="E55" i="13"/>
  <c r="F115" i="13"/>
  <c r="AD57" i="13"/>
  <c r="E57" i="13"/>
  <c r="C54" i="13"/>
  <c r="AD54" i="13"/>
  <c r="AD55" i="13"/>
  <c r="Y55" i="13"/>
  <c r="D115" i="13"/>
  <c r="B151" i="13"/>
  <c r="B147" i="13"/>
  <c r="B275" i="13"/>
  <c r="B271" i="13"/>
  <c r="B170" i="13"/>
  <c r="B227" i="13"/>
  <c r="B188" i="13"/>
  <c r="R264" i="13"/>
  <c r="Q264" i="13"/>
  <c r="P264" i="13"/>
  <c r="N264" i="13"/>
  <c r="U264" i="13"/>
  <c r="M264" i="13"/>
  <c r="L264" i="13"/>
  <c r="S264" i="13"/>
  <c r="T264" i="13"/>
  <c r="O264" i="13"/>
  <c r="B264" i="13"/>
  <c r="V264" i="13"/>
  <c r="K264" i="13"/>
  <c r="K27" i="15" l="1"/>
  <c r="F118" i="13"/>
  <c r="F121" i="13"/>
  <c r="F122" i="13" s="1"/>
  <c r="F123" i="13" s="1"/>
  <c r="D118" i="13"/>
  <c r="D121" i="13"/>
  <c r="D122" i="13" s="1"/>
  <c r="D123" i="13" s="1"/>
  <c r="B266" i="13"/>
  <c r="K9" i="15" s="1"/>
  <c r="N57" i="13"/>
  <c r="N58" i="13"/>
  <c r="N56" i="13"/>
  <c r="N59" i="13"/>
  <c r="N55" i="13"/>
  <c r="N54" i="13"/>
  <c r="N53" i="13"/>
  <c r="J57" i="13"/>
  <c r="J59" i="13"/>
  <c r="J58" i="13"/>
  <c r="J56" i="13"/>
  <c r="J55" i="13"/>
  <c r="J54" i="13"/>
  <c r="J53" i="13"/>
  <c r="C25" i="13"/>
  <c r="C24" i="13"/>
  <c r="B77" i="13"/>
  <c r="B68" i="13"/>
  <c r="B83" i="13"/>
  <c r="B82" i="13"/>
  <c r="B81" i="13"/>
  <c r="B75" i="13"/>
  <c r="B74" i="13"/>
  <c r="B73" i="13"/>
  <c r="B69" i="13"/>
  <c r="B267" i="13" l="1"/>
  <c r="B268" i="13" s="1"/>
  <c r="B265" i="13"/>
  <c r="C26" i="13"/>
  <c r="B116" i="13"/>
  <c r="C116" i="13"/>
  <c r="A109" i="13"/>
  <c r="B109" i="13"/>
  <c r="C109" i="13"/>
  <c r="E109" i="13"/>
  <c r="B110" i="13"/>
  <c r="C110" i="13"/>
  <c r="E110" i="13"/>
  <c r="E114" i="13" s="1"/>
  <c r="E115" i="13" s="1"/>
  <c r="E121" i="13" s="1"/>
  <c r="C111" i="13"/>
  <c r="C20" i="13"/>
  <c r="B269" i="13" l="1"/>
  <c r="B276" i="13"/>
  <c r="B272" i="13"/>
  <c r="B279" i="13" s="1"/>
  <c r="C21" i="13"/>
  <c r="B114" i="13"/>
  <c r="B115" i="13" s="1"/>
  <c r="B121" i="13" s="1"/>
  <c r="C114" i="13"/>
  <c r="C115" i="13" s="1"/>
  <c r="C121" i="13" s="1"/>
  <c r="B117" i="13"/>
  <c r="C117" i="13"/>
  <c r="E117" i="13"/>
  <c r="C23" i="13"/>
  <c r="C22" i="13" l="1"/>
  <c r="B273" i="13"/>
  <c r="B280" i="13" s="1"/>
  <c r="B270" i="13"/>
  <c r="K11" i="15" s="1"/>
  <c r="B277" i="13"/>
  <c r="B85" i="13" l="1"/>
  <c r="D44" i="13"/>
  <c r="E44" i="13" s="1"/>
  <c r="D43" i="13"/>
  <c r="D42" i="13"/>
  <c r="E42" i="13" s="1"/>
  <c r="D41" i="13"/>
  <c r="E41" i="13" s="1"/>
  <c r="D40" i="13"/>
  <c r="E40" i="13" s="1"/>
  <c r="D39" i="13"/>
  <c r="E39" i="13" s="1"/>
  <c r="D38" i="13"/>
  <c r="D45" i="13"/>
  <c r="B91" i="13"/>
  <c r="D124" i="13"/>
  <c r="D119" i="13"/>
  <c r="B90" i="13"/>
  <c r="F124" i="13"/>
  <c r="F119" i="13"/>
  <c r="B86" i="13"/>
  <c r="B274" i="13"/>
  <c r="B282" i="13" s="1"/>
  <c r="K19" i="15" s="1"/>
  <c r="B278" i="13"/>
  <c r="K15" i="15" s="1"/>
  <c r="E46" i="13" l="1"/>
  <c r="D59" i="13" s="1"/>
  <c r="D125" i="13"/>
  <c r="B87" i="13"/>
  <c r="F125" i="13"/>
  <c r="B92" i="13"/>
  <c r="K13" i="15"/>
  <c r="B281" i="13"/>
  <c r="K17" i="15" s="1"/>
  <c r="C118" i="13"/>
  <c r="C119" i="13" s="1"/>
  <c r="C122" i="13"/>
  <c r="E118" i="13"/>
  <c r="E119" i="13" s="1"/>
  <c r="E122" i="13"/>
  <c r="B118" i="13"/>
  <c r="B122" i="13"/>
  <c r="C59" i="13" l="1"/>
  <c r="E59" i="13"/>
  <c r="D53" i="13"/>
  <c r="C53" i="13" s="1"/>
  <c r="D56" i="13"/>
  <c r="N52" i="13"/>
  <c r="J52" i="13"/>
  <c r="B133" i="13"/>
  <c r="B93" i="13"/>
  <c r="B119" i="13"/>
  <c r="B134" i="13" s="1"/>
  <c r="E53" i="13" l="1"/>
  <c r="C56" i="13"/>
  <c r="E56" i="13"/>
  <c r="B139" i="13"/>
  <c r="D52" i="13"/>
  <c r="D51" i="13" s="1"/>
  <c r="D9" i="15"/>
  <c r="B135" i="13"/>
  <c r="C123" i="13"/>
  <c r="E123" i="13"/>
  <c r="B123" i="13"/>
  <c r="B94" i="13" l="1"/>
  <c r="D11" i="15" s="1"/>
  <c r="F126" i="13"/>
  <c r="D126" i="13"/>
  <c r="C52" i="13"/>
  <c r="C51" i="13" s="1"/>
  <c r="B140" i="13"/>
  <c r="AC54" i="13" s="1"/>
  <c r="E52" i="13"/>
  <c r="E51" i="13" s="1"/>
  <c r="B124" i="13"/>
  <c r="B125" i="13" s="1"/>
  <c r="B126" i="13" s="1"/>
  <c r="E124" i="13"/>
  <c r="E125" i="13" s="1"/>
  <c r="C124" i="13"/>
  <c r="AC59" i="13" l="1"/>
  <c r="AC55" i="13"/>
  <c r="F127" i="13"/>
  <c r="F129" i="13" s="1"/>
  <c r="F128" i="13"/>
  <c r="B95" i="13"/>
  <c r="B97" i="13" s="1"/>
  <c r="D17" i="15" s="1"/>
  <c r="B96" i="13"/>
  <c r="D15" i="15" s="1"/>
  <c r="D128" i="13"/>
  <c r="D127" i="13"/>
  <c r="D129" i="13" s="1"/>
  <c r="AC58" i="13"/>
  <c r="AC56" i="13"/>
  <c r="F9" i="15"/>
  <c r="E126" i="13"/>
  <c r="F11" i="15" s="1"/>
  <c r="B127" i="13"/>
  <c r="B129" i="13" s="1"/>
  <c r="B128" i="13"/>
  <c r="AC52" i="13"/>
  <c r="B144" i="13"/>
  <c r="AC53" i="13"/>
  <c r="U55" i="13"/>
  <c r="X55" i="13" s="1"/>
  <c r="U59" i="13"/>
  <c r="X59" i="13" s="1"/>
  <c r="U53" i="13"/>
  <c r="X53" i="13" s="1"/>
  <c r="U54" i="13"/>
  <c r="U57" i="13"/>
  <c r="U56" i="13"/>
  <c r="X56" i="13" s="1"/>
  <c r="U52" i="13"/>
  <c r="X52" i="13" s="1"/>
  <c r="U58" i="13"/>
  <c r="X58" i="13" s="1"/>
  <c r="C125" i="13"/>
  <c r="C126" i="13" s="1"/>
  <c r="AA54" i="13" l="1"/>
  <c r="X54" i="13"/>
  <c r="X60" i="13" s="1"/>
  <c r="D13" i="15"/>
  <c r="E127" i="13"/>
  <c r="E129" i="13" s="1"/>
  <c r="E128" i="13"/>
  <c r="F15" i="15" s="1"/>
  <c r="C127" i="13"/>
  <c r="C129" i="13" s="1"/>
  <c r="C128" i="13"/>
  <c r="AC60" i="13"/>
  <c r="E9" i="15"/>
  <c r="C9" i="15" s="1"/>
  <c r="E11" i="15"/>
  <c r="AA53" i="13"/>
  <c r="B136" i="13"/>
  <c r="B148" i="13"/>
  <c r="B138" i="13" l="1"/>
  <c r="B152" i="13"/>
  <c r="AD52" i="13"/>
  <c r="Y52" i="13"/>
  <c r="E15" i="15"/>
  <c r="F17" i="15"/>
  <c r="F13" i="15"/>
  <c r="E17" i="15"/>
  <c r="E13" i="15"/>
  <c r="B137" i="13"/>
  <c r="B226" i="13" l="1"/>
  <c r="J13" i="15" s="1"/>
  <c r="B187" i="13"/>
  <c r="B184" i="13"/>
  <c r="AD59" i="13"/>
  <c r="Y59" i="13"/>
  <c r="B206" i="13"/>
  <c r="B203" i="13"/>
  <c r="B166" i="13"/>
  <c r="B169" i="13"/>
  <c r="AD53" i="13"/>
  <c r="AD56" i="13"/>
  <c r="Y56" i="13"/>
  <c r="Y53" i="13"/>
  <c r="B141" i="13"/>
  <c r="B236" i="13" s="1"/>
  <c r="B219" i="13"/>
  <c r="B223" i="13"/>
  <c r="J11" i="15" s="1"/>
  <c r="B201" i="13"/>
  <c r="B164" i="13"/>
  <c r="B182" i="13"/>
  <c r="AD60" i="13" l="1"/>
  <c r="B190" i="13" s="1"/>
  <c r="H17" i="15" s="1"/>
  <c r="Y60" i="13"/>
  <c r="H11" i="15"/>
  <c r="I11" i="15"/>
  <c r="G11" i="15"/>
  <c r="I13" i="15"/>
  <c r="G13" i="15"/>
  <c r="B142" i="13"/>
  <c r="B149" i="13"/>
  <c r="B145" i="13"/>
  <c r="B240" i="13" s="1"/>
  <c r="B189" i="13" l="1"/>
  <c r="H15" i="15" s="1"/>
  <c r="B243" i="13"/>
  <c r="B209" i="13"/>
  <c r="B246" i="13"/>
  <c r="B208" i="13"/>
  <c r="I15" i="15" s="1"/>
  <c r="B153" i="13"/>
  <c r="I17" i="15"/>
  <c r="B172" i="13"/>
  <c r="G17" i="15" s="1"/>
  <c r="B171" i="13"/>
  <c r="G15" i="15" s="1"/>
  <c r="B191" i="13"/>
  <c r="H19" i="15" s="1"/>
  <c r="C19" i="15" s="1"/>
  <c r="H13" i="15"/>
  <c r="C13" i="15" s="1"/>
  <c r="C11" i="15"/>
  <c r="B237" i="13"/>
  <c r="B241" i="13"/>
  <c r="B242" i="13" s="1"/>
  <c r="B150" i="13"/>
  <c r="B146" i="13"/>
  <c r="B154" i="13" l="1"/>
  <c r="B229" i="13"/>
  <c r="B247" i="13" s="1"/>
  <c r="B248" i="13" s="1"/>
  <c r="B228" i="13"/>
  <c r="B238" i="13"/>
  <c r="B239" i="13"/>
  <c r="J15" i="15" l="1"/>
  <c r="C15" i="15" s="1"/>
  <c r="B244" i="13"/>
  <c r="B245" i="13" s="1"/>
  <c r="J17" i="15"/>
  <c r="C17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Živojin Stuparević</author>
    <author>Sava Stuparevic</author>
  </authors>
  <commentList>
    <comment ref="C5" authorId="0" shapeId="0" xr:uid="{459B3498-F630-496F-8DDF-87F3DEC7A8EC}">
      <text>
        <r>
          <rPr>
            <b/>
            <sz val="9"/>
            <color indexed="81"/>
            <rFont val="Tahoma"/>
            <family val="2"/>
          </rPr>
          <t>ИЗАБРАТИ ИЗ
ПАДАЈУЋЕ ЛИСТЕ</t>
        </r>
      </text>
    </comment>
    <comment ref="F40" authorId="0" shapeId="0" xr:uid="{EF16879F-939A-47D0-AEEF-70092E1EEC1F}">
      <text>
        <r>
          <rPr>
            <b/>
            <sz val="9"/>
            <color indexed="81"/>
            <rFont val="Tahoma"/>
            <family val="2"/>
          </rPr>
          <t>АКО ПОСТОЈИ ПОДАТАК</t>
        </r>
      </text>
    </comment>
    <comment ref="F41" authorId="0" shapeId="0" xr:uid="{4A7B35F6-F124-4EF3-97DC-FD39580BD83D}">
      <text>
        <r>
          <rPr>
            <b/>
            <sz val="9"/>
            <color indexed="81"/>
            <rFont val="Tahoma"/>
            <family val="2"/>
          </rPr>
          <t>АКО ПОСТОЈИ ПОДАТАК</t>
        </r>
      </text>
    </comment>
    <comment ref="I52" authorId="0" shapeId="0" xr:uid="{BA78DDFE-586A-434F-AE17-EB690113F269}">
      <text>
        <r>
          <rPr>
            <b/>
            <sz val="9"/>
            <color indexed="81"/>
            <rFont val="Tahoma"/>
            <family val="2"/>
          </rPr>
          <t>АКО ПОСТОЈИ ПОДАТАК</t>
        </r>
      </text>
    </comment>
    <comment ref="F53" authorId="0" shapeId="0" xr:uid="{18ABD126-EA1B-4AC6-85B0-5F7B3195D5BE}">
      <text>
        <r>
          <rPr>
            <b/>
            <sz val="9"/>
            <color indexed="81"/>
            <rFont val="Tahoma"/>
            <family val="2"/>
          </rPr>
          <t>АКО ПОСТОЈИ ПОДАТАК</t>
        </r>
      </text>
    </comment>
    <comment ref="F74" authorId="0" shapeId="0" xr:uid="{026A9F6A-94D9-4264-B9DB-7F8B8A3B7458}">
      <text>
        <r>
          <rPr>
            <b/>
            <sz val="9"/>
            <color indexed="81"/>
            <rFont val="Tahoma"/>
            <family val="2"/>
          </rPr>
          <t>ОБАВЕЗНИ ПОДАЦИ</t>
        </r>
      </text>
    </comment>
    <comment ref="K99" authorId="0" shapeId="0" xr:uid="{599028A0-6F5B-43C2-90E3-E65893EEA821}">
      <text>
        <r>
          <rPr>
            <b/>
            <sz val="9"/>
            <color indexed="81"/>
            <rFont val="Tahoma"/>
            <family val="2"/>
          </rPr>
          <t>ПРОВЕРИТИ
ВРЕДНОСТ</t>
        </r>
      </text>
    </comment>
    <comment ref="K114" authorId="0" shapeId="0" xr:uid="{85C69214-412E-42BB-AA4E-221CC9C739C1}">
      <text>
        <r>
          <rPr>
            <b/>
            <sz val="9"/>
            <color indexed="81"/>
            <rFont val="Tahoma"/>
            <family val="2"/>
          </rPr>
          <t>УНТЕТИ ВРЕДНОСТ
КОЕФИЦИЈЕНТА
ПРОВОЂЕЊА
ТОПЛОТЕ ЗА
НОВИ МАТЕРИЈАЛ</t>
        </r>
      </text>
    </comment>
    <comment ref="E116" authorId="0" shapeId="0" xr:uid="{FF715C8B-BF0B-4388-B436-DFD9D1B6B6FF}">
      <text>
        <r>
          <rPr>
            <b/>
            <sz val="9"/>
            <color indexed="81"/>
            <rFont val="Tahoma"/>
            <family val="2"/>
          </rPr>
          <t>АКО НИЈЕ МОГУЋЕ УТВРДИТИ САСТАВ КОНСТРУКЦИЈЕ КОЈА СЕ ИЗОЛУЈЕ НЕОПХОДНО ЈЕ У ЖУТА ПОЉА УНЕТИ УКУПНУ ДЕБЉИНУ КОНСТРУКЦИЈЕ И ОБАВЕЗНО ОЗНАЧИТИ ТАЧАН ИЛИ ПРОЦЕЊЕН ПЕРИОД ИЗГРАДЊЕ У ПОЉИМА B28-B34
АКО НИ ТО НИЈЕ МОГУЋЕ ОСТАВИТИ ПРАЗНО</t>
        </r>
      </text>
    </comment>
    <comment ref="C132" authorId="0" shapeId="0" xr:uid="{4C61E478-DC64-415F-A460-489E276A92B5}">
      <text>
        <r>
          <rPr>
            <b/>
            <sz val="9"/>
            <color indexed="81"/>
            <rFont val="Tahoma"/>
            <family val="2"/>
          </rPr>
          <t>УНЕТИ ВРЕДНОСТ У ПРОЦЕНТИМА</t>
        </r>
      </text>
    </comment>
    <comment ref="C134" authorId="0" shapeId="0" xr:uid="{A8488C59-749A-4E17-90E6-46721C1C74E5}">
      <text>
        <r>
          <rPr>
            <b/>
            <sz val="9"/>
            <color indexed="81"/>
            <rFont val="Tahoma"/>
            <family val="2"/>
          </rPr>
          <t>ИЗАБРАТИ ИЗ
ПАДАЈУЋЕ ЛИСТЕ</t>
        </r>
      </text>
    </comment>
    <comment ref="F170" authorId="0" shapeId="0" xr:uid="{FCA65D1B-1BFA-4DB1-A67B-79A92F72FA83}">
      <text>
        <r>
          <rPr>
            <b/>
            <sz val="9"/>
            <color indexed="81"/>
            <rFont val="Tahoma"/>
            <family val="2"/>
          </rPr>
          <t>АКО ПОСТОЈИ ПОДАТАК</t>
        </r>
      </text>
    </comment>
    <comment ref="F171" authorId="0" shapeId="0" xr:uid="{D776C29F-0856-4F22-A8D5-98C2B4135820}">
      <text>
        <r>
          <rPr>
            <b/>
            <sz val="9"/>
            <color indexed="81"/>
            <rFont val="Tahoma"/>
            <family val="2"/>
          </rPr>
          <t>АКО ПОСТОЈИ ПОДАТАК</t>
        </r>
      </text>
    </comment>
    <comment ref="F172" authorId="0" shapeId="0" xr:uid="{F4A75888-9A4F-446B-ACE9-4307606A3DCD}">
      <text>
        <r>
          <rPr>
            <b/>
            <sz val="9"/>
            <color indexed="81"/>
            <rFont val="Tahoma"/>
            <family val="2"/>
          </rPr>
          <t>АКО ПОСТОЈИ ПОДАТАК</t>
        </r>
      </text>
    </comment>
    <comment ref="C178" authorId="1" shapeId="0" xr:uid="{E3177797-2C1D-414A-B589-62F367F7F2B2}">
      <text>
        <r>
          <rPr>
            <b/>
            <sz val="9"/>
            <color indexed="81"/>
            <rFont val="Tahoma"/>
            <family val="2"/>
          </rPr>
          <t>УНЕТИ ВРЕДНОСТ У ПРОЦЕНТИМА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Živojin Stuparević</author>
  </authors>
  <commentList>
    <comment ref="L38" authorId="0" shapeId="0" xr:uid="{2E327774-003C-4B32-AF37-09DCCAA8CD6F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KUĆE U NIZU</t>
        </r>
      </text>
    </comment>
    <comment ref="P38" authorId="0" shapeId="0" xr:uid="{735ABB3C-7908-49AE-BE0A-87DF7D9812D6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PRAVILNIK O UŠTEDAMA</t>
        </r>
      </text>
    </comment>
    <comment ref="L39" authorId="0" shapeId="0" xr:uid="{1367AD6C-830C-47AD-894D-203522406D17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KUĆE U NIZU</t>
        </r>
      </text>
    </comment>
    <comment ref="P39" authorId="0" shapeId="0" xr:uid="{C0D1E4B9-062A-43B6-95A6-BC0270D5D463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PRAVILNIK O UŠTEDAMA</t>
        </r>
      </text>
    </comment>
    <comment ref="L40" authorId="0" shapeId="0" xr:uid="{E6A96B79-7D10-4530-B578-6CCC2BECFB60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KUĆE U NIZU</t>
        </r>
      </text>
    </comment>
    <comment ref="P40" authorId="0" shapeId="0" xr:uid="{2782C284-17C8-413B-9EB4-5198E95DDDD0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PRAVILNIK O UŠTEDAMA</t>
        </r>
      </text>
    </comment>
    <comment ref="P41" authorId="0" shapeId="0" xr:uid="{A9D368EE-2061-4FAE-9BE5-3F007ABD4606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U NIZU</t>
        </r>
      </text>
    </comment>
    <comment ref="P42" authorId="0" shapeId="0" xr:uid="{6CD55100-8742-41AE-ADE6-AC223B070747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PRAVILNIK O UŠTEDAMA</t>
        </r>
      </text>
    </comment>
    <comment ref="L44" authorId="0" shapeId="0" xr:uid="{F98CF6C0-11F2-4848-A813-4ACBA04C23F0}">
      <text>
        <r>
          <rPr>
            <b/>
            <sz val="9"/>
            <color indexed="81"/>
            <rFont val="Tahoma"/>
            <family val="2"/>
          </rPr>
          <t>Živojin Stuparević:</t>
        </r>
        <r>
          <rPr>
            <sz val="9"/>
            <color indexed="81"/>
            <rFont val="Tahoma"/>
            <family val="2"/>
          </rPr>
          <t xml:space="preserve">
PRAVILNIK</t>
        </r>
      </text>
    </comment>
    <comment ref="R52" authorId="0" shapeId="0" xr:uid="{3613A21A-33D9-487E-A4D0-79F0C9DA5B78}">
      <text>
        <r>
          <rPr>
            <b/>
            <sz val="9"/>
            <color indexed="81"/>
            <rFont val="Tahoma"/>
            <family val="2"/>
          </rPr>
          <t>17000 kJ/kg</t>
        </r>
      </text>
    </comment>
    <comment ref="R58" authorId="0" shapeId="0" xr:uid="{304A7E11-8E17-4B14-A5E2-2803B5CDA451}">
      <text>
        <r>
          <rPr>
            <b/>
            <sz val="9"/>
            <color indexed="81"/>
            <rFont val="Tahoma"/>
            <family val="2"/>
          </rPr>
          <t>IZMENITI</t>
        </r>
      </text>
    </comment>
    <comment ref="T58" authorId="0" shapeId="0" xr:uid="{7664BB60-0BC7-41B2-B8DA-62DB732F7C29}">
      <text>
        <r>
          <rPr>
            <b/>
            <sz val="9"/>
            <color indexed="81"/>
            <rFont val="Tahoma"/>
            <family val="2"/>
          </rPr>
          <t>IZMENITI</t>
        </r>
      </text>
    </comment>
    <comment ref="U58" authorId="0" shapeId="0" xr:uid="{7E77E43D-B624-4CF3-B6B8-C98E5BC16A03}">
      <text>
        <r>
          <rPr>
            <b/>
            <sz val="9"/>
            <color indexed="81"/>
            <rFont val="Tahoma"/>
            <family val="2"/>
          </rPr>
          <t>IZMENITI</t>
        </r>
      </text>
    </comment>
    <comment ref="V58" authorId="0" shapeId="0" xr:uid="{7844783A-3029-4BA3-8324-244BFE9F1C20}">
      <text>
        <r>
          <rPr>
            <b/>
            <sz val="9"/>
            <color indexed="81"/>
            <rFont val="Tahoma"/>
            <family val="2"/>
          </rPr>
          <t>IZMENITI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<sst xmlns="http://schemas.openxmlformats.org/spreadsheetml/2006/main" count="870" uniqueCount="589">
  <si>
    <t>m</t>
  </si>
  <si>
    <t>kW</t>
  </si>
  <si>
    <t>/</t>
  </si>
  <si>
    <t>пре 1945</t>
  </si>
  <si>
    <t>1946-1960</t>
  </si>
  <si>
    <t>1961-1970</t>
  </si>
  <si>
    <t>1971-1980</t>
  </si>
  <si>
    <t>1981-1990</t>
  </si>
  <si>
    <t>1991-2012</t>
  </si>
  <si>
    <t>после 2012</t>
  </si>
  <si>
    <t>дрвени</t>
  </si>
  <si>
    <t xml:space="preserve">челични </t>
  </si>
  <si>
    <t>цигла</t>
  </si>
  <si>
    <t>гитер блок</t>
  </si>
  <si>
    <t>бетонски блок</t>
  </si>
  <si>
    <t>Ytong</t>
  </si>
  <si>
    <t>Сипорекс</t>
  </si>
  <si>
    <t>Камена облога</t>
  </si>
  <si>
    <t>Ваздушни слој</t>
  </si>
  <si>
    <t>бетон</t>
  </si>
  <si>
    <t>Друго (_____________)</t>
  </si>
  <si>
    <t>ЛМТ</t>
  </si>
  <si>
    <t>није могуће утврдити</t>
  </si>
  <si>
    <t>цреп</t>
  </si>
  <si>
    <t>лим</t>
  </si>
  <si>
    <t>летве</t>
  </si>
  <si>
    <t>рогови</t>
  </si>
  <si>
    <t>хидроизолација</t>
  </si>
  <si>
    <t>каратаван</t>
  </si>
  <si>
    <t>угаљ</t>
  </si>
  <si>
    <t>дрво</t>
  </si>
  <si>
    <t>електрична енергија</t>
  </si>
  <si>
    <t>гас</t>
  </si>
  <si>
    <t>топлотна пумпа</t>
  </si>
  <si>
    <t>Произвођач:</t>
  </si>
  <si>
    <t>Тип:</t>
  </si>
  <si>
    <t>Снага:</t>
  </si>
  <si>
    <t>Степен корисности:</t>
  </si>
  <si>
    <t>Нови котао/топлотна пумпа:</t>
  </si>
  <si>
    <t>замене постојеће или уградња нове цевне мреже, грејних тела и пратећег прибора</t>
  </si>
  <si>
    <t>подно</t>
  </si>
  <si>
    <t>двоцевно</t>
  </si>
  <si>
    <t>једноцевно</t>
  </si>
  <si>
    <t>уградња соларних колектора у инсталацију за централну припрему потрошне топле воде</t>
  </si>
  <si>
    <t>извор постојећег грејања ПТВ:</t>
  </si>
  <si>
    <t>Соларни колектори:</t>
  </si>
  <si>
    <t>друго:</t>
  </si>
  <si>
    <t>година изградње:</t>
  </si>
  <si>
    <t>Зорка термо-блок</t>
  </si>
  <si>
    <t>година уградње:</t>
  </si>
  <si>
    <t>постојећа инсталација:</t>
  </si>
  <si>
    <t>нема инсталације ( код уградње топлотних пумпи )</t>
  </si>
  <si>
    <t>тип грејања:</t>
  </si>
  <si>
    <t>укупна снага постојећег грејача за ПТВ:</t>
  </si>
  <si>
    <t>запремина резервоара за ПТВ:</t>
  </si>
  <si>
    <t>НАПОМЕНЕ:</t>
  </si>
  <si>
    <t>Појединачна мера/мере</t>
  </si>
  <si>
    <t>Основни пакет мера</t>
  </si>
  <si>
    <t>Стандардни пакет мера</t>
  </si>
  <si>
    <t>Напредни пакет мера</t>
  </si>
  <si>
    <t>Пријављена мера/мере/пакет мера:</t>
  </si>
  <si>
    <t>Заокружити сваку од пријављених мера:</t>
  </si>
  <si>
    <r>
      <t>10.</t>
    </r>
    <r>
      <rPr>
        <sz val="7"/>
        <color rgb="FF000000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Израда техничке документације</t>
    </r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</si>
  <si>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</si>
  <si>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Просечна годишња потрошња горива за грејање (kg,t,m3,динара):</t>
  </si>
  <si>
    <t>Снага постојећег топлотног извора:</t>
  </si>
  <si>
    <t>ЗАМЕНА СПОЉНИХ ПРОЗОРА И ВРАТА - МЕРА 1) из јавног позива</t>
  </si>
  <si>
    <t>дрвена</t>
  </si>
  <si>
    <t>метална</t>
  </si>
  <si>
    <t>конструкција:</t>
  </si>
  <si>
    <t>малтер</t>
  </si>
  <si>
    <t>испуна (_____________)</t>
  </si>
  <si>
    <t>плочице</t>
  </si>
  <si>
    <t>паркет</t>
  </si>
  <si>
    <t>ламинат</t>
  </si>
  <si>
    <t>бродски под</t>
  </si>
  <si>
    <t>кошуљица</t>
  </si>
  <si>
    <t>ако није могуће утврдити уписати укупну дебљину конструкције</t>
  </si>
  <si>
    <t>гипс-картон плоча</t>
  </si>
  <si>
    <t>ПОСТАВЉАЊЕ ТЕРМИЧКЕ ИЗОЛАЦИЈЕ – МЕРЕ 2) и 3) из Јавног позива</t>
  </si>
  <si>
    <t>ЗАМЕНА ПОСТОЈЕЋЕГ ГРЕЈАЧА КОТЛОМ НА ГАС ИЛИ ПЕЛЕТ ИЛИ УГРАДЊА ТОПЛОТНЕ ПУМПЕ</t>
  </si>
  <si>
    <t xml:space="preserve">  - МЕРЕ 4), 5) или 6) из Јавног позива       </t>
  </si>
  <si>
    <t>постојећа изолација - стиропор  (EPS)</t>
  </si>
  <si>
    <t>постојећа изолација - стиродур (XPS)</t>
  </si>
  <si>
    <t>постојећа изолација - минерална вуна</t>
  </si>
  <si>
    <t>%</t>
  </si>
  <si>
    <r>
      <rPr>
        <sz val="11"/>
        <color rgb="FFFF0000"/>
        <rFont val="Symbol"/>
        <family val="1"/>
        <charset val="2"/>
      </rPr>
      <t>l</t>
    </r>
    <r>
      <rPr>
        <sz val="11"/>
        <color rgb="FFFF0000"/>
        <rFont val="Calibri"/>
        <family val="2"/>
        <charset val="238"/>
        <scheme val="minor"/>
      </rPr>
      <t xml:space="preserve"> (W/mK)</t>
    </r>
  </si>
  <si>
    <t>кров</t>
  </si>
  <si>
    <r>
      <t>W/m</t>
    </r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charset val="238"/>
        <scheme val="minor"/>
      </rPr>
      <t>K</t>
    </r>
  </si>
  <si>
    <t>течно гориво</t>
  </si>
  <si>
    <t>Рашка</t>
  </si>
  <si>
    <t>НАПОМЕНЕ</t>
  </si>
  <si>
    <t>Нису узети у обзир добици топлоте од људи, ел.уређаја и сунца</t>
  </si>
  <si>
    <t>УЛАЗНИ ПОДАЦИ:</t>
  </si>
  <si>
    <t>Општина:</t>
  </si>
  <si>
    <t>Број степен дана ( HDD ):</t>
  </si>
  <si>
    <t>Средња темп. греј.сезоне</t>
  </si>
  <si>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38"/>
        <scheme val="minor"/>
      </rPr>
      <t xml:space="preserve"> С</t>
    </r>
  </si>
  <si>
    <t>Постојећа констукција:</t>
  </si>
  <si>
    <t>Укупна дебљина конструкције:</t>
  </si>
  <si>
    <t>Спољни зид</t>
  </si>
  <si>
    <t>Под на тлу</t>
  </si>
  <si>
    <t>Под изнад негрејаног простора</t>
  </si>
  <si>
    <t>Унутрашњи зид ка негрејаном простору</t>
  </si>
  <si>
    <t xml:space="preserve">МЕРА 2) и/или МЕРА 3) - постављања термичке изолације на спољним зидовима, подовима на тлу и осталим </t>
  </si>
  <si>
    <t>деловимаа термичког омотача према негрејаном простору, као и у крову и на таваници</t>
  </si>
  <si>
    <t>Кров изнад грејаног простора</t>
  </si>
  <si>
    <t>Таваница испод негрејаног простора</t>
  </si>
  <si>
    <t>МЕРА 2)-Спољни, унутрашњи зид или под</t>
  </si>
  <si>
    <t>МЕРА 3)-Кров или таваница</t>
  </si>
  <si>
    <r>
      <t>Rsi+Rse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K/W ) - </t>
    </r>
  </si>
  <si>
    <r>
      <t>површина за изолацију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) - </t>
    </r>
  </si>
  <si>
    <t>Ht` ( W/K ) -</t>
  </si>
  <si>
    <t xml:space="preserve">Фактор корекције Fxi - </t>
  </si>
  <si>
    <r>
      <t>Riz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K/W ) - </t>
    </r>
  </si>
  <si>
    <r>
      <t>Rnovo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K/W ) - </t>
    </r>
  </si>
  <si>
    <t>Ht`novo ( W/K ) -</t>
  </si>
  <si>
    <r>
      <t>Upost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K ) - </t>
    </r>
  </si>
  <si>
    <r>
      <t>Unovo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K ) - </t>
    </r>
  </si>
  <si>
    <t>УОБИЧАЈЕНЕ ГРАЂЕВИНСКЕ КОНСТРУКЦИЈЕ КОЈЕ СЕ ИЗОЛУЈУ</t>
  </si>
  <si>
    <t xml:space="preserve">МЕРА 1) - замена спољних прозора и врата </t>
  </si>
  <si>
    <t>Постојећи прозори:</t>
  </si>
  <si>
    <t>Нови прозори:</t>
  </si>
  <si>
    <r>
      <t>Upost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 ) =</t>
    </r>
  </si>
  <si>
    <r>
      <t>Unovo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 ) =</t>
    </r>
  </si>
  <si>
    <t>Постојећa врата:</t>
  </si>
  <si>
    <t>Нова врата:</t>
  </si>
  <si>
    <r>
      <t>A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) =</t>
    </r>
  </si>
  <si>
    <t xml:space="preserve"> - укупна површина прозора који се мењају</t>
  </si>
  <si>
    <t xml:space="preserve"> - укупна површина врата која се мењају</t>
  </si>
  <si>
    <r>
      <t>Q</t>
    </r>
    <r>
      <rPr>
        <vertAlign val="subscript"/>
        <sz val="11"/>
        <color theme="1"/>
        <rFont val="Calibri"/>
        <family val="2"/>
        <scheme val="minor"/>
      </rPr>
      <t>T_novo</t>
    </r>
    <r>
      <rPr>
        <sz val="11"/>
        <color theme="1"/>
        <rFont val="Calibri"/>
        <family val="2"/>
        <scheme val="minor"/>
      </rPr>
      <t xml:space="preserve">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 )</t>
    </r>
  </si>
  <si>
    <r>
      <t>Q</t>
    </r>
    <r>
      <rPr>
        <vertAlign val="subscript"/>
        <sz val="11"/>
        <color theme="1"/>
        <rFont val="Calibri"/>
        <family val="2"/>
        <scheme val="minor"/>
      </rPr>
      <t>T_post</t>
    </r>
    <r>
      <rPr>
        <sz val="11"/>
        <color theme="1"/>
        <rFont val="Calibri"/>
        <family val="2"/>
        <scheme val="minor"/>
      </rPr>
      <t xml:space="preserve"> ( kWh/god )</t>
    </r>
  </si>
  <si>
    <t xml:space="preserve"> - годишњи трансмисиони губици топлоте за постојеће прозоре</t>
  </si>
  <si>
    <t xml:space="preserve"> - годишњи трансмисиони губици топлоте за нове прозоре</t>
  </si>
  <si>
    <r>
      <t>Q</t>
    </r>
    <r>
      <rPr>
        <vertAlign val="subscript"/>
        <sz val="11"/>
        <color theme="1"/>
        <rFont val="Calibri"/>
        <family val="2"/>
        <scheme val="minor"/>
      </rPr>
      <t>T_ušteda</t>
    </r>
    <r>
      <rPr>
        <sz val="11"/>
        <color theme="1"/>
        <rFont val="Calibri"/>
        <family val="2"/>
        <scheme val="minor"/>
      </rPr>
      <t xml:space="preserve"> ( kWh/god )</t>
    </r>
  </si>
  <si>
    <t xml:space="preserve"> - годишња уштеда због смањења трансмисионих губитака</t>
  </si>
  <si>
    <r>
      <t>Q</t>
    </r>
    <r>
      <rPr>
        <vertAlign val="subscript"/>
        <sz val="11"/>
        <color theme="1"/>
        <rFont val="Calibri"/>
        <family val="2"/>
        <scheme val="minor"/>
      </rPr>
      <t>V_post</t>
    </r>
    <r>
      <rPr>
        <sz val="11"/>
        <color theme="1"/>
        <rFont val="Calibri"/>
        <family val="2"/>
        <scheme val="minor"/>
      </rPr>
      <t xml:space="preserve"> ( kWh/god )</t>
    </r>
  </si>
  <si>
    <r>
      <t>Q</t>
    </r>
    <r>
      <rPr>
        <vertAlign val="subscript"/>
        <sz val="11"/>
        <color theme="1"/>
        <rFont val="Calibri"/>
        <family val="2"/>
        <scheme val="minor"/>
      </rPr>
      <t>V_novo</t>
    </r>
    <r>
      <rPr>
        <sz val="11"/>
        <color theme="1"/>
        <rFont val="Calibri"/>
        <family val="2"/>
        <scheme val="minor"/>
      </rPr>
      <t xml:space="preserve">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 )</t>
    </r>
  </si>
  <si>
    <r>
      <t>Q</t>
    </r>
    <r>
      <rPr>
        <vertAlign val="subscript"/>
        <sz val="11"/>
        <color theme="1"/>
        <rFont val="Calibri"/>
        <family val="2"/>
        <scheme val="minor"/>
      </rPr>
      <t>V_ušteda</t>
    </r>
    <r>
      <rPr>
        <sz val="11"/>
        <color theme="1"/>
        <rFont val="Calibri"/>
        <family val="2"/>
        <scheme val="minor"/>
      </rPr>
      <t xml:space="preserve"> ( kWh/god 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</si>
  <si>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UKUPNA_ušteda</t>
    </r>
    <r>
      <rPr>
        <b/>
        <sz val="11"/>
        <color theme="1"/>
        <rFont val="Calibri"/>
        <family val="2"/>
        <scheme val="minor"/>
      </rPr>
      <t xml:space="preserve"> ( kWh/god )</t>
    </r>
  </si>
  <si>
    <t>Потрошња топлотне енергије:</t>
  </si>
  <si>
    <t>Нова потрошња ( kWh/god ) -</t>
  </si>
  <si>
    <t>Годишња потрошња ( kWh/god ) -</t>
  </si>
  <si>
    <r>
      <t>q</t>
    </r>
    <r>
      <rPr>
        <vertAlign val="subscript"/>
        <sz val="11"/>
        <color theme="1"/>
        <rFont val="Calibri"/>
        <family val="2"/>
        <scheme val="minor"/>
      </rPr>
      <t>H,ND</t>
    </r>
    <r>
      <rPr>
        <sz val="11"/>
        <color theme="1"/>
        <rFont val="Calibri"/>
        <family val="2"/>
        <charset val="238"/>
        <scheme val="minor"/>
      </rPr>
      <t xml:space="preserve"> ( kWh/m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god )</t>
    </r>
  </si>
  <si>
    <r>
      <t>Q</t>
    </r>
    <r>
      <rPr>
        <vertAlign val="subscript"/>
        <sz val="11"/>
        <color theme="1"/>
        <rFont val="Calibri"/>
        <family val="2"/>
        <scheme val="minor"/>
      </rPr>
      <t>H,ND</t>
    </r>
    <r>
      <rPr>
        <sz val="11"/>
        <color theme="1"/>
        <rFont val="Calibri"/>
        <family val="2"/>
        <charset val="238"/>
        <scheme val="minor"/>
      </rPr>
      <t xml:space="preserve"> ( kWh/god 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</si>
  <si>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H,ND</t>
    </r>
    <r>
      <rPr>
        <b/>
        <sz val="11"/>
        <color theme="1"/>
        <rFont val="Calibri"/>
        <family val="2"/>
        <scheme val="minor"/>
      </rPr>
      <t xml:space="preserve"> ( kWh/god ) =</t>
    </r>
  </si>
  <si>
    <t>даљинско грејање</t>
  </si>
  <si>
    <t>година изградње</t>
  </si>
  <si>
    <t>извор постојећег грејања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</si>
  <si>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H,LS</t>
    </r>
    <r>
      <rPr>
        <b/>
        <sz val="11"/>
        <color theme="1"/>
        <rFont val="Calibri"/>
        <family val="2"/>
        <scheme val="minor"/>
      </rPr>
      <t xml:space="preserve"> ( kWh/god )</t>
    </r>
  </si>
  <si>
    <t>h</t>
  </si>
  <si>
    <r>
      <t>h</t>
    </r>
    <r>
      <rPr>
        <vertAlign val="subscript"/>
        <sz val="11"/>
        <color theme="1"/>
        <rFont val="Calibri"/>
        <family val="2"/>
        <scheme val="minor"/>
      </rPr>
      <t>k</t>
    </r>
  </si>
  <si>
    <r>
      <t>h</t>
    </r>
    <r>
      <rPr>
        <vertAlign val="subscript"/>
        <sz val="11"/>
        <color theme="1"/>
        <rFont val="Calibri"/>
        <family val="2"/>
        <scheme val="minor"/>
      </rPr>
      <t>c</t>
    </r>
  </si>
  <si>
    <r>
      <t>h</t>
    </r>
    <r>
      <rPr>
        <vertAlign val="subscript"/>
        <sz val="11"/>
        <color theme="1"/>
        <rFont val="Calibri"/>
        <family val="2"/>
        <scheme val="minor"/>
      </rPr>
      <t>r</t>
    </r>
  </si>
  <si>
    <t>ГУБИЦИ</t>
  </si>
  <si>
    <t>котао</t>
  </si>
  <si>
    <t>инсталац.</t>
  </si>
  <si>
    <t>регулац.</t>
  </si>
  <si>
    <t>укупно</t>
  </si>
  <si>
    <t>пелет</t>
  </si>
  <si>
    <t>ПРИМАРНА ЕНЕРГИЈА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</si>
  <si>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PRIM</t>
    </r>
    <r>
      <rPr>
        <b/>
        <sz val="11"/>
        <color theme="1"/>
        <rFont val="Calibri"/>
        <family val="2"/>
        <scheme val="minor"/>
      </rPr>
      <t xml:space="preserve"> ( kWh/god )</t>
    </r>
  </si>
  <si>
    <t>степен корисности постојећи</t>
  </si>
  <si>
    <t>степен корисности нови</t>
  </si>
  <si>
    <t>Метеоролошка станица</t>
  </si>
  <si>
    <r>
      <t>Географска  дужина (1/10</t>
    </r>
    <r>
      <rPr>
        <b/>
        <sz val="11"/>
        <color indexed="8"/>
        <rFont val="Calibri"/>
        <family val="2"/>
      </rPr>
      <t>°</t>
    </r>
    <r>
      <rPr>
        <b/>
        <sz val="11"/>
        <color indexed="8"/>
        <rFont val="Calibri"/>
        <family val="2"/>
      </rPr>
      <t>)</t>
    </r>
  </si>
  <si>
    <t>Географска  ширина (1/10°)</t>
  </si>
  <si>
    <t>Надморска висина         (m)</t>
  </si>
  <si>
    <t>Степен дани грејања 1991-2020</t>
  </si>
  <si>
    <t>ИСПОРУЧЕНА  ЕНЕРГИЈА</t>
  </si>
  <si>
    <t>БРОЈ ИЗМЕНА ВАЗДУХА</t>
  </si>
  <si>
    <t>ЗАПТИВЕНОСТ</t>
  </si>
  <si>
    <t>ДОБРА</t>
  </si>
  <si>
    <t>СРЕДЊА</t>
  </si>
  <si>
    <t>ЛОША</t>
  </si>
  <si>
    <t>Отворен положај</t>
  </si>
  <si>
    <t>Умерено заклоњен</t>
  </si>
  <si>
    <t>Веома заклоњен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</si>
  <si>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</si>
  <si>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Запремина грејаног дела</t>
  </si>
  <si>
    <t xml:space="preserve"> - заптивеност-број измена ваздуха у стању после санације</t>
  </si>
  <si>
    <t xml:space="preserve"> - заптивеност-број измена ваздуха у постојећем стању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</si>
  <si>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H</t>
    </r>
    <r>
      <rPr>
        <b/>
        <sz val="11"/>
        <color theme="1"/>
        <rFont val="Calibri"/>
        <family val="2"/>
        <scheme val="minor"/>
      </rPr>
      <t xml:space="preserve"> ( kWh/god ) =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</si>
  <si>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H,DEL</t>
    </r>
    <r>
      <rPr>
        <b/>
        <sz val="11"/>
        <color theme="1"/>
        <rFont val="Calibri"/>
        <family val="2"/>
        <scheme val="minor"/>
      </rPr>
      <t xml:space="preserve"> ( kWh/god 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</si>
  <si>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H,DEL</t>
    </r>
    <r>
      <rPr>
        <b/>
        <sz val="11"/>
        <color theme="1"/>
        <rFont val="Calibri"/>
        <family val="2"/>
        <scheme val="minor"/>
      </rPr>
      <t xml:space="preserve"> ( kWh/god ) =</t>
    </r>
  </si>
  <si>
    <t xml:space="preserve"> - степен корисности постојећег котла</t>
  </si>
  <si>
    <t xml:space="preserve"> - степен корисности новог котла</t>
  </si>
  <si>
    <t xml:space="preserve"> - ИСПОРУЧЕНА ЕНЕРГИЈЕ ПРЕ САНАЦИЈЕ</t>
  </si>
  <si>
    <t xml:space="preserve"> - УШТЕДА ИСПОРУЧЕНЕ ЕНЕРГИЈЕ</t>
  </si>
  <si>
    <t xml:space="preserve"> - УШТЕДА ИСПОРУЧЕНЕ ЕНЕРГИЈЕ ОСТВАРЕНА ЗАМЕНОМ КОТЛА</t>
  </si>
  <si>
    <t xml:space="preserve"> - степен корисности постојеће цевне мреже</t>
  </si>
  <si>
    <t xml:space="preserve"> - степен корисности постојеће регулације</t>
  </si>
  <si>
    <t xml:space="preserve"> - степен корисности нове цевне мреже</t>
  </si>
  <si>
    <t xml:space="preserve"> - степен корисности нове регулације</t>
  </si>
  <si>
    <t xml:space="preserve"> - ИЗВРШЕНА САНАЦИЈА ТЕРМИЧКОГ ОМОТАЧА</t>
  </si>
  <si>
    <t xml:space="preserve"> - степен корисности постојећег постројења</t>
  </si>
  <si>
    <t xml:space="preserve"> - фактор претварања примарне енергије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</si>
  <si>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H,PR</t>
    </r>
    <r>
      <rPr>
        <b/>
        <sz val="11"/>
        <color theme="1"/>
        <rFont val="Calibri"/>
        <family val="2"/>
        <scheme val="minor"/>
      </rPr>
      <t xml:space="preserve"> ( kWh/god ) =</t>
    </r>
  </si>
  <si>
    <t>kWh</t>
  </si>
  <si>
    <t>фактор претварања прим. ен.</t>
  </si>
  <si>
    <t>Hd (kJ/kg)</t>
  </si>
  <si>
    <t>Година изградње:</t>
  </si>
  <si>
    <t>Висина грејаног дела (чиста):</t>
  </si>
  <si>
    <t>Површина грејаног дела:</t>
  </si>
  <si>
    <t>Коеф.прекида грејања</t>
  </si>
  <si>
    <t xml:space="preserve"> - УШТЕДА ПРИМАРНЕ ЕНЕРГИЈЕ</t>
  </si>
  <si>
    <t>мерама 1,2,3</t>
  </si>
  <si>
    <t>УШТЕДА (дин.)</t>
  </si>
  <si>
    <t>ГОДИШЊА ЦЕНА ПОТРЕБНЕ КОЛИЧИНЕ ЕНЕРГЕНТА</t>
  </si>
  <si>
    <t xml:space="preserve"> - УШТЕДА ( дин. ) </t>
  </si>
  <si>
    <t xml:space="preserve"> - СМАЊЕЊЕ ГОДИШЊЕ ЕМИСИЈА CO2 ( kg )</t>
  </si>
  <si>
    <t>Број чланова домаћинства:</t>
  </si>
  <si>
    <t>МЕРА 8) - уградња соларних колектора у инсталацију за централну припрему потрошне топле воде</t>
  </si>
  <si>
    <t xml:space="preserve"> - број чланова домаћинства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</si>
  <si>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W,DEL</t>
    </r>
    <r>
      <rPr>
        <b/>
        <sz val="11"/>
        <color theme="1"/>
        <rFont val="Calibri"/>
        <family val="2"/>
        <scheme val="minor"/>
      </rPr>
      <t xml:space="preserve"> ( kWh/god ) =</t>
    </r>
  </si>
  <si>
    <t xml:space="preserve"> - ГОДИШЊА ИСПОРУЧЕНА ЕНЕРГИЈЕ ЗА ПРИПРЕМУ ПТВ</t>
  </si>
  <si>
    <t xml:space="preserve"> - енергент за припрему ПТВ</t>
  </si>
  <si>
    <t>kWh/m2</t>
  </si>
  <si>
    <t xml:space="preserve"> - дневна потреба ПТВ по особи ( литара )</t>
  </si>
  <si>
    <r>
      <t xml:space="preserve"> -температура ПТВ (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38"/>
        <scheme val="minor"/>
      </rPr>
      <t>C )</t>
    </r>
  </si>
  <si>
    <r>
      <t xml:space="preserve"> -температура напојне воде (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38"/>
        <scheme val="minor"/>
      </rPr>
      <t>C )</t>
    </r>
  </si>
  <si>
    <r>
      <t xml:space="preserve"> - површина инсталираних соларних колектора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)</t>
    </r>
  </si>
  <si>
    <t xml:space="preserve"> - УШТЕДА ИСПОРУЧЕНЕ ЕНЕРГИЈЕ ПОСЛЕ УГРАДЊЕ СОЛАРНИХ КОЛЕКТОРА</t>
  </si>
  <si>
    <t xml:space="preserve"> - извршена уградња соларних колектора</t>
  </si>
  <si>
    <t xml:space="preserve"> - ЦЕНА ЕНЕРГИЈЕ  ПОСТОЈЕЋЕГ СИСТЕМА ЗА ПТВ НА ГОДИШЊЕМ НИВОУ ( дин. ) </t>
  </si>
  <si>
    <t xml:space="preserve"> - цена једног kWh за припрему ПТВ ( дин./kWh )</t>
  </si>
  <si>
    <t xml:space="preserve"> - извршена уградња топлотне пумпе</t>
  </si>
  <si>
    <t xml:space="preserve"> - извршена замена </t>
  </si>
  <si>
    <t xml:space="preserve"> - извршена замена прозора</t>
  </si>
  <si>
    <t xml:space="preserve"> - уграђена изолација на крову/таваници</t>
  </si>
  <si>
    <t xml:space="preserve"> - уграђена изолација на фасади</t>
  </si>
  <si>
    <t xml:space="preserve"> - фактор претварања примарне енергије постојећег постројења</t>
  </si>
  <si>
    <t xml:space="preserve"> - фактор претварања примарне енергије новог постројења</t>
  </si>
  <si>
    <t>ПРЕГЛЕД ПАРАМЕТАРА ПРЕ И ПОСЛЕ САНАЦИЈЕ ТЕРМИЧКОГ ОМОТАЧА</t>
  </si>
  <si>
    <t xml:space="preserve"> - ИСПОРУЧЕНА ЕНЕРГИЈЕ ПОСЛЕ САНАЦИЈЕ</t>
  </si>
  <si>
    <t xml:space="preserve"> - ГОДИШЊА ЕМИСИЈА CO2 НА ГОДИШЊЕМ НИВОУ ПРЕ ЗАМЕНЕ НАЧИНА ГРЕЈАЊА( kg )</t>
  </si>
  <si>
    <t xml:space="preserve"> - ГОДИШЊА ЕМИСИЈА CO2 НА ГОДИШЊЕМ НИВОУ ПОСЛЕ ЗАМЕНЕ НАЧИНА ГРЕЈАЊА( kg )</t>
  </si>
  <si>
    <t xml:space="preserve"> - SCOP</t>
  </si>
  <si>
    <t xml:space="preserve"> - цена једног kWh</t>
  </si>
  <si>
    <t>Енергент:</t>
  </si>
  <si>
    <t xml:space="preserve"> - УШТЕДА ИСПОРУЧЕНЕ ЕНЕРГИЈЕ ПРЕ САНАЦИЈЕ</t>
  </si>
  <si>
    <t xml:space="preserve"> - ПРИМАРНА ЕНЕРГИЈА  ПРЕ УГРАДЊЕ СОЛАРНИХ КОЛЕКТОРА</t>
  </si>
  <si>
    <t xml:space="preserve"> - ПРИМАРНА ЕНЕРГИЈА  ПОСЛЕ УГРАДЊЕ СОЛАРНИХ КОЛЕКТОРА</t>
  </si>
  <si>
    <t xml:space="preserve"> - ЦЕНА ЕНЕРГИЈЕ  СИСТЕМА ЗА ПТВ ПОСЛЕ УГРАДЊЕ СОЛАРНИХ КОЛЕКТОРА ( дин. ) </t>
  </si>
  <si>
    <t xml:space="preserve"> - ГОДИШЊА ИСПОРУЧЕНА ЕНЕРГИЈА ПОСЛЕ УГРАДЊЕ СОЛАРНИХ КОЛЕКТОРА</t>
  </si>
  <si>
    <t xml:space="preserve"> - ГОДИШЊА ЕМИСИЈА CO2 НА ГОДИШЊЕМ НИВОУ ПРЕ УГРАДЊЕ СОЛАРНИХ КОЛЕКТОРА( kg )</t>
  </si>
  <si>
    <t xml:space="preserve"> - ГОДИШЊА ЕМИСИЈА CO2 НА ГОДИШЊЕМ НИВОУ ПОСЛЕ УГРАДЊЕ СОЛАРНИХ КОЛЕКТОРА( kg )</t>
  </si>
  <si>
    <t xml:space="preserve"> - ПРИМАРНА ЕНЕРГИЈА  ПРЕ САНАЦИЈЕ ТЕРМИЧКОГ ОМОТАЧА</t>
  </si>
  <si>
    <t xml:space="preserve"> - ПРИМАРНА ЕНЕРГИЈА  ПОСЛЕ САНАЦИЈЕ ТЕРМИЧКОГ ОМОТАЧА</t>
  </si>
  <si>
    <t>јединица</t>
  </si>
  <si>
    <t>мере</t>
  </si>
  <si>
    <t xml:space="preserve"> po kWh</t>
  </si>
  <si>
    <t>/god</t>
  </si>
  <si>
    <t>Топлотна моћ јед. мере у kJ, kWh</t>
  </si>
  <si>
    <t>по јед.</t>
  </si>
  <si>
    <t>годишње</t>
  </si>
  <si>
    <t>по kWh</t>
  </si>
  <si>
    <t>НОВЧАНА УШТЕДА</t>
  </si>
  <si>
    <r>
      <t>ЕМИСИЈА CO</t>
    </r>
    <r>
      <rPr>
        <b/>
        <vertAlign val="subscript"/>
        <sz val="18"/>
        <rFont val="Calibri"/>
        <family val="2"/>
        <scheme val="minor"/>
      </rPr>
      <t>2</t>
    </r>
  </si>
  <si>
    <r>
      <t>Q</t>
    </r>
    <r>
      <rPr>
        <vertAlign val="subscript"/>
        <sz val="14"/>
        <rFont val="Calibri"/>
        <family val="2"/>
        <scheme val="minor"/>
      </rPr>
      <t>H</t>
    </r>
    <r>
      <rPr>
        <sz val="14"/>
        <rFont val="Calibri"/>
        <family val="2"/>
        <scheme val="minor"/>
      </rPr>
      <t xml:space="preserve"> ( kWh/god ) =</t>
    </r>
  </si>
  <si>
    <t>Цена и топлотна моћ угља</t>
  </si>
  <si>
    <t>виша тар.</t>
  </si>
  <si>
    <t>нижа тар.</t>
  </si>
  <si>
    <t>Цена електричне енергије</t>
  </si>
  <si>
    <t>HOR (kWh/m2)</t>
  </si>
  <si>
    <t>J(kWh/m2)</t>
  </si>
  <si>
    <t>I, Z (kWh/m2)</t>
  </si>
  <si>
    <t>S(kWh/m2)</t>
  </si>
  <si>
    <t>Zima</t>
  </si>
  <si>
    <t>Специфична годишња производња ФН система на кровним површинама</t>
  </si>
  <si>
    <t>Специфична годишња производња фотонапонских система на конструкцијама на тлу</t>
  </si>
  <si>
    <t>Брoj рeгиoнa</t>
  </si>
  <si>
    <t>Регион</t>
  </si>
  <si>
    <t>(MWh/MWp)</t>
  </si>
  <si>
    <t>уградња соларних панела за производњу електричне енергије</t>
  </si>
  <si>
    <t xml:space="preserve"> - одобрена електрична снага од стране електродистибуције ( kW )</t>
  </si>
  <si>
    <t>Соларни панели се монтирају на:</t>
  </si>
  <si>
    <t>у простору окућнице</t>
  </si>
  <si>
    <t xml:space="preserve"> - годишњи вентилациони губици топлоте за постојеће прозоре</t>
  </si>
  <si>
    <t xml:space="preserve"> - годишњи вентилациони губици топлоте за нове прозоре</t>
  </si>
  <si>
    <t xml:space="preserve"> - материјал прозора</t>
  </si>
  <si>
    <t xml:space="preserve"> - остакљење</t>
  </si>
  <si>
    <t xml:space="preserve"> - тип врата која се мењају</t>
  </si>
  <si>
    <t>МЕРА 9) - уградња соларних панела за производњу електричне енергије</t>
  </si>
  <si>
    <t>СПОЉНИ ЗИД</t>
  </si>
  <si>
    <t>ПОД НА ТЛУ</t>
  </si>
  <si>
    <t>ТАВАНИЦА</t>
  </si>
  <si>
    <t>ПРОЦЕНА ИСПОРУЧЕНЕ ТОПЛОТНЕ ЕНЕРГИЈЕ ПРЕ ЕНЕРГЕТСКЕ САНАЦИЈЕ</t>
  </si>
  <si>
    <r>
      <t>Rpost.kalk.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K/W ) - </t>
    </r>
  </si>
  <si>
    <r>
      <t>Rpost.tipol. (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K/W ) - </t>
    </r>
  </si>
  <si>
    <r>
      <rPr>
        <sz val="11"/>
        <color rgb="FFFF0000"/>
        <rFont val="Symbol"/>
        <family val="1"/>
        <charset val="2"/>
      </rPr>
      <t>1/l</t>
    </r>
    <r>
      <rPr>
        <sz val="11"/>
        <color rgb="FFFF0000"/>
        <rFont val="Calibri"/>
        <family val="2"/>
        <charset val="238"/>
        <scheme val="minor"/>
      </rPr>
      <t xml:space="preserve"> (mK/W)</t>
    </r>
  </si>
  <si>
    <t>Način proračuna -</t>
  </si>
  <si>
    <r>
      <t>m</t>
    </r>
    <r>
      <rPr>
        <vertAlign val="superscript"/>
        <sz val="11"/>
        <color rgb="FFFF0000"/>
        <rFont val="Calibri"/>
        <family val="2"/>
        <scheme val="minor"/>
      </rPr>
      <t>2</t>
    </r>
  </si>
  <si>
    <t xml:space="preserve"> - референтна област</t>
  </si>
  <si>
    <t xml:space="preserve"> - позиција постављених панела</t>
  </si>
  <si>
    <t xml:space="preserve"> - Специфична годишња производња ФН система (MWh/MWp)</t>
  </si>
  <si>
    <t>PVout ( kWh/god ) =</t>
  </si>
  <si>
    <t xml:space="preserve"> - УШТЕДА ИСПОРУЧЕНЕ ЕНЕРГИЈЕ ПОСЛЕ УГРАДЊЕ СОЛАРНИХ ПАНЕЛА</t>
  </si>
  <si>
    <t xml:space="preserve"> - цена једног kWh електричне енергије ( дин./kWh )</t>
  </si>
  <si>
    <t>Годишња потрошња електричне енергије:</t>
  </si>
  <si>
    <t xml:space="preserve"> - ПРИМАРНА ЕНЕРГИЈА  ПРЕ УГРАДЊЕ СОЛАРНИХ ПАНЕЛА</t>
  </si>
  <si>
    <t xml:space="preserve"> - ПРИМАРНА ЕНЕРГИЈА  ПОСЛЕ УГРАДЊЕ СОЛАРНИХ ПАНЕЛА</t>
  </si>
  <si>
    <t xml:space="preserve"> - ГОДИШЊА ЦЕНА ЕЛЕКТРИЧНЕ ЕНЕРГИЈЕ ПРЕ УГРАДЊЕ СОЛАРНИХ ПАНЕЛА ( дин. ) </t>
  </si>
  <si>
    <t xml:space="preserve"> - ГОДИШЊА ЦЕНА ЕЛЕКТРИЧНЕ ЕНЕРГИЈЕ ПОСЛЕ УГРАДЊЕ СОЛАРНИХ ПАНЕЛА ( дин. ) </t>
  </si>
  <si>
    <t xml:space="preserve"> - ГОДИШЊА ЕМИСИЈА CO2 НА ГОДИШЊЕМ НИВОУ ПРЕ УГРАДЊЕ СОЛАРНИХ ПАНЕЛА( kg )</t>
  </si>
  <si>
    <t xml:space="preserve"> - ГОДИШЊА ЕМИСИЈА CO2 НА ГОДИШЊЕМ НИВОУ ПОСЛЕ УГРАДЊЕ СОЛАРНИХ ПАНЕЛА( kg )</t>
  </si>
  <si>
    <t>J</t>
  </si>
  <si>
    <t>I, Z</t>
  </si>
  <si>
    <t>S</t>
  </si>
  <si>
    <t>Западнобачка</t>
  </si>
  <si>
    <t>Севернобачка</t>
  </si>
  <si>
    <t>Севернобанатска</t>
  </si>
  <si>
    <t>Јужнобачка</t>
  </si>
  <si>
    <t>Средњeбанатска</t>
  </si>
  <si>
    <t>Сремска</t>
  </si>
  <si>
    <t>Јужнобанатска</t>
  </si>
  <si>
    <t>Мачванска</t>
  </si>
  <si>
    <t>Београдски</t>
  </si>
  <si>
    <t>Колубарска</t>
  </si>
  <si>
    <t>Подунавска</t>
  </si>
  <si>
    <t>Браничевска</t>
  </si>
  <si>
    <t>Златиборска</t>
  </si>
  <si>
    <t>Моравичка</t>
  </si>
  <si>
    <t>Шумадијска</t>
  </si>
  <si>
    <t>Поморавска</t>
  </si>
  <si>
    <t>Борска</t>
  </si>
  <si>
    <t>Расинска</t>
  </si>
  <si>
    <t>Нишавска</t>
  </si>
  <si>
    <t>Зајечарска</t>
  </si>
  <si>
    <t>Топличка</t>
  </si>
  <si>
    <t>Јабланичка</t>
  </si>
  <si>
    <t>Пиротска</t>
  </si>
  <si>
    <t>Пчињска</t>
  </si>
  <si>
    <t>врата</t>
  </si>
  <si>
    <r>
      <t>U (W/m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K)</t>
    </r>
  </si>
  <si>
    <t>прозори</t>
  </si>
  <si>
    <t>дупла крила</t>
  </si>
  <si>
    <t>1 х стакло</t>
  </si>
  <si>
    <t>2 х стакло</t>
  </si>
  <si>
    <t>Референтно место:</t>
  </si>
  <si>
    <r>
      <t>"</t>
    </r>
    <r>
      <rPr>
        <b/>
        <sz val="18"/>
        <color rgb="FFFF0000"/>
        <rFont val="Calibri"/>
        <family val="2"/>
        <scheme val="minor"/>
      </rPr>
      <t>SURCE</t>
    </r>
    <r>
      <rPr>
        <b/>
        <sz val="18"/>
        <color theme="1"/>
        <rFont val="Calibri"/>
        <family val="2"/>
        <scheme val="minor"/>
      </rPr>
      <t>" ПРОЈЕКАТ - ПРОЦЕНА УШТЕДЕ ТОПЛОТНЕ ЕНЕРТИЈЕ</t>
    </r>
  </si>
  <si>
    <t>Уштеда при замени котла и уградњи топлотне пумпе рачуна се са специфичном потребном енергијом SHD као улазним податком преузетим из националне типологије и Табеле 13 Правилника о уштедама;</t>
  </si>
  <si>
    <t>СТЕПЕН ДАНИ HDD ЗА РЕФЕРЕНТНА МЕСТА ПРЕМА ПОДАЦИМА РЕПУБЛИЧКОГ ХИДРОМЕТЕОРОЛОШКОГ ЗАВОДА</t>
  </si>
  <si>
    <t>ТАБЕЛА СТЕПЕН ДАНА У ГРЕЈНОМ ПЕРИОДУ И НАДМОРСКЕ ВИСИНЕ ПО ОПШТИНАМА</t>
  </si>
  <si>
    <t>изградње:</t>
  </si>
  <si>
    <t xml:space="preserve">година </t>
  </si>
  <si>
    <t>МЕРА ЕНЕРГЕТСКЕ САНАЦИЈЕ</t>
  </si>
  <si>
    <t>ПРЕГЛЕД УКУПНИХ ПОТРЕБНИХ, ИСПОРУЧЕНИХ И ПРИМАРНИХ ГОДИШЊИХ ЕНЕРГИЈА И УШТЕДА ЗА ДОМАЋИНСТВО</t>
  </si>
  <si>
    <t>ПОТРЕБНА ЕНЕРГИЈА</t>
  </si>
  <si>
    <t xml:space="preserve"> - УШТЕДА ПОТРЕБНЕ ЕНЕРГИЈЕ</t>
  </si>
  <si>
    <t>ПРОЦЕНА ПОТРОШЊЕ ПОТРЕБНЕ ТОПЛОТНЕ ЕНЕРГИЈЕ ПРЕМА НАЦИОНАЛНОЈ ТИПОЛОГИЈИ</t>
  </si>
  <si>
    <t xml:space="preserve"> - годишња уштеда потребне топлоте </t>
  </si>
  <si>
    <t xml:space="preserve"> - ПРОЦЕНА ПОТРЕБНЕ ЕНЕРГИЈА ПРЕ САНАЦИЈЕ</t>
  </si>
  <si>
    <t xml:space="preserve"> - ПРОРАЧУН ПОТРЕБНЕ ЕНЕРГИЈА ПРЕ САНАЦИЈЕ ЗА ПОВРШИНУ КОЈА ЈЕ ПРЕДМЕТ САНАЦИЈЕ</t>
  </si>
  <si>
    <t xml:space="preserve"> - УСВОЈЕНА ВРЕДНОСТ ПОТРЕБНЕ ЕНЕРГИЈА ПРЕ САНАЦИЈЕ</t>
  </si>
  <si>
    <t xml:space="preserve"> - ПРОЦЕНА ПОТРЕБНЕ ЕНЕРГИЈА ПОСЛЕ САНАЦИЈЕ ТЕРМИЧКОГ ОМОТАЧА</t>
  </si>
  <si>
    <t xml:space="preserve"> - ПРОЦЕНАТ УШТЕДЕ ПОТРЕБНЕ ЕНЕРГИЈЕ</t>
  </si>
  <si>
    <t xml:space="preserve"> - УСВОЈЕНА ВРЕДНОСТ ПОТРЕБНЕ ЕНЕРГИЈА</t>
  </si>
  <si>
    <t xml:space="preserve"> - ГОДИШЊА ПОТРЕБНА ЕНЕРГИЈА ЗА ПРИПРЕМУ ПТВ</t>
  </si>
  <si>
    <t xml:space="preserve"> - ГОДИШЊА ПОТРЕБНА ЕНЕРГИЈА ПОСЛЕ УГРАДЊЕ СОЛАРНИХ КОЛЕКТОРА</t>
  </si>
  <si>
    <t xml:space="preserve"> - УШТЕДА ПОТРЕБНЕ ЕНЕРГИЈЕ ПОСЛЕ УГРАДЊЕ СОЛАРНИХ КОЛЕКТОРА</t>
  </si>
  <si>
    <t>КОНС.ИЗНАД ГАРАЖ.</t>
  </si>
  <si>
    <t>КРОВ</t>
  </si>
  <si>
    <t>УШТЕДА ПОТРЕБНЕ ЕНЕРГИЈЕ( kWh/god ) -</t>
  </si>
  <si>
    <t>УШТЕДА ИСПОРУЧЕНЕ ЕНЕРГИЈЕ( kWh/god ) -</t>
  </si>
  <si>
    <t>УШТЕДА ПРИМАРНЕ ЕНЕРГИЈЕ( kWh/god ) -</t>
  </si>
  <si>
    <r>
      <t>СМАЊЕЊЕ ЕМИСИЈЕ СО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 kg/god ) -</t>
    </r>
  </si>
  <si>
    <t>УШТЕДА У НОВЦУ( din./god. ) -</t>
  </si>
  <si>
    <r>
      <t>Емисија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у kg</t>
    </r>
  </si>
  <si>
    <t xml:space="preserve"> - емисија СО2 ( kg/kWh )</t>
  </si>
  <si>
    <t xml:space="preserve"> - годишња уштеда испоручене топлоте </t>
  </si>
  <si>
    <t xml:space="preserve"> - годишња уштеда примарне топлоте </t>
  </si>
  <si>
    <t xml:space="preserve"> - годишња уштеда новца у дин.</t>
  </si>
  <si>
    <r>
      <t xml:space="preserve"> - годишње смањење емисије СО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 у kg</t>
    </r>
  </si>
  <si>
    <t xml:space="preserve"> - извршена замена/уградња инсталације</t>
  </si>
  <si>
    <t>МЕРА 7) - замена/уградња инсталације грејања</t>
  </si>
  <si>
    <t>ПРЕГЛЕД ПАРАМЕТАРА ПРЕ И ПОСЛЕ САНАЦИЈЕ ГРЕЈНОГ ПОСТРОЈЕЊА</t>
  </si>
  <si>
    <t>МЕРА 4) - замена постојећег извора топлоте котлом на гас</t>
  </si>
  <si>
    <t>МЕРА 5) - замена постојећег извора топлоте котлом на биомасу</t>
  </si>
  <si>
    <t>МЕРА 6) - уградња топлотне пумпе</t>
  </si>
  <si>
    <t xml:space="preserve"> - УШТЕДА ИСПОРУЧЕНЕ ЕНЕРГИЈЕ ОСТВАРЕНА ЗАМЕНОМ/УГРАДЊОМ ИНСТАЛАЦИЈЕ</t>
  </si>
  <si>
    <t xml:space="preserve"> - степен корисности новог извора топлоте</t>
  </si>
  <si>
    <t xml:space="preserve"> - ИСПОРУЧЕНА ЕНЕРГИЈА ПРЕ ЗАМЕНЕ СИСТЕМА ГРЕЈАЊА</t>
  </si>
  <si>
    <t xml:space="preserve"> - ИСПОРУЧЕНА ЕНЕРГИЈА ПОСЛЕ ЗАМЕНЕ СИСТЕМА ГРЕЈАЊА</t>
  </si>
  <si>
    <t xml:space="preserve"> - ПРИМАРНА ЕНЕРГИЈА  ПРЕ ЗАМЕНЕ СИСТЕМА ГРЕЈАЊА</t>
  </si>
  <si>
    <t xml:space="preserve"> - ПРИМАРНА ЕНЕРГИЈА  ПОСЛЕ ЗАМЕНЕ СИСТЕМА ГРЕЈАЊА</t>
  </si>
  <si>
    <t xml:space="preserve"> - ЦЕНА ПОТРЕБНИХ ЕНЕРГЕНАТА НА ГОДИШЊЕМ НИВОУ ПОСЛЕ ЗАМЕНЕ СИСТЕМА ГРЕЈАЊА ( дин. ) </t>
  </si>
  <si>
    <t xml:space="preserve"> - ЦЕНА ПОТРЕБНИХ ЕНЕРГЕНАТА НА ГОДИШЊЕМ НИВОУ ПОСЛЕ САНАЦИЈЕ ТЕРМИЧКОГ ОМОТАЧА ( дин. ) </t>
  </si>
  <si>
    <t xml:space="preserve"> - ЦЕНА ПОТРЕБНИХ ЕНЕРГЕНАТА НА ГОДИШЊЕМ НИВОУ ПРЕ САНАЦИЈЕ ТЕРМИЧКОГ ОМОТАЧА ( дин. ) </t>
  </si>
  <si>
    <t xml:space="preserve"> - ГОДИШЊА ЕМИСИЈА CO2 НА ГОДИШЊЕМ НИВОУ ПРЕ САНАЦИЈЕ ТЕРМИЧКОГ ОМОТАЧА ( kg )</t>
  </si>
  <si>
    <t xml:space="preserve"> - ГОДИШЊА ЕМИСИЈА CO2 НА ГОДИШЊЕМ НИВОУ ПОСЛЕ САНАЦИЈЕ ТЕРМИЧКОГ ОМОТАЧА ( kg )</t>
  </si>
  <si>
    <t>УШТЕДА</t>
  </si>
  <si>
    <t xml:space="preserve"> - КОЛИЧИНА ПРИМАРНЕ ЕНЕРГИЈЕ ПРЕБАЧЕНА НА ОБНОВЉИВЕ ИЗВОРЕ ЕНЕРГИЈЕ</t>
  </si>
  <si>
    <t>ВРЕДНОСТ ИНВЕСТИЦИЈЕ</t>
  </si>
  <si>
    <t xml:space="preserve"> - ПОВЕЋАЊЕ КОЛИЧИНЕ ЕНЕРГИЈЕ ИЗ ОБНОВЉИВИХ ИЗВОРА</t>
  </si>
  <si>
    <t>ОБНОВЉИВИ ИЗВОРИ</t>
  </si>
  <si>
    <t>етажно грејање ( котао само за предметно домаћинство и сл. )</t>
  </si>
  <si>
    <t>централно грејање ( подстаница, котао за више домаћинстава и сл. )</t>
  </si>
  <si>
    <t>Тип постојећег система грејања:</t>
  </si>
  <si>
    <t>локално грејање ( нема инсталације, пећи, ТА пећи, грејалице  у просторијама и сл. )</t>
  </si>
  <si>
    <t>дебљина нове изолације (цм):</t>
  </si>
  <si>
    <t>ИНСТАЛИРАНА ОПРЕМА/МАТЕРИЈАЛ</t>
  </si>
  <si>
    <t>вредност инвестиције (рсд):</t>
  </si>
  <si>
    <r>
      <t>(m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,kW,kWp)</t>
    </r>
  </si>
  <si>
    <t xml:space="preserve"> - ИНСТАЛИРАНА ОПРЕМА/МАТЕРИЈАЛ</t>
  </si>
  <si>
    <r>
      <t>(РСД</t>
    </r>
    <r>
      <rPr>
        <sz val="14"/>
        <color theme="1"/>
        <rFont val="Calibri"/>
        <family val="2"/>
        <scheme val="minor"/>
      </rPr>
      <t>)</t>
    </r>
  </si>
  <si>
    <t xml:space="preserve"> - ВРЕДНОСТ ИНВЕСТИЦИЈЕ</t>
  </si>
  <si>
    <t>СПЕЦИФИЧНА ВРЕДНОСТ ИНВЕСТИЦИЈЕ</t>
  </si>
  <si>
    <r>
      <t>(РСД/m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,kW,kWp)</t>
    </r>
  </si>
  <si>
    <r>
      <t>m</t>
    </r>
    <r>
      <rPr>
        <b/>
        <vertAlign val="superscript"/>
        <sz val="12"/>
        <color rgb="FF0070C0"/>
        <rFont val="Calibri"/>
        <family val="2"/>
        <scheme val="minor"/>
      </rPr>
      <t>2</t>
    </r>
  </si>
  <si>
    <t>kWp</t>
  </si>
  <si>
    <t>цена у рсд</t>
  </si>
  <si>
    <t xml:space="preserve"> - СПЕЦИФИЧНА ВРЕДНОСТ ИНВЕСТИЦИЈЕ</t>
  </si>
  <si>
    <r>
      <t>U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 )</t>
    </r>
  </si>
  <si>
    <r>
      <t xml:space="preserve"> - Правилника о факторима конверзије финалне енергије у примарну и факторима емисије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;</t>
    </r>
  </si>
  <si>
    <t>Просечно:</t>
  </si>
  <si>
    <t>Национална типологија</t>
  </si>
  <si>
    <t>Према броју HDD</t>
  </si>
  <si>
    <t>Адреса:</t>
  </si>
  <si>
    <t>Крајњи корисник:</t>
  </si>
  <si>
    <t>Извођач-директни корисник:</t>
  </si>
  <si>
    <t>Број:</t>
  </si>
  <si>
    <t>Датум:</t>
  </si>
  <si>
    <t>Број уговора:</t>
  </si>
  <si>
    <t>Вредност инвестиције:</t>
  </si>
  <si>
    <t>Кућа или стан:</t>
  </si>
  <si>
    <t>Изабрана мера/пакет:</t>
  </si>
  <si>
    <t>Број примењених мера:</t>
  </si>
  <si>
    <t>СНАГА ИНСТАЛИРАНИХ ОБНОВЉИВИХ ИЗВОРА</t>
  </si>
  <si>
    <r>
      <t>P</t>
    </r>
    <r>
      <rPr>
        <vertAlign val="subscript"/>
        <sz val="14"/>
        <rFont val="Calibri"/>
        <family val="2"/>
        <scheme val="minor"/>
      </rPr>
      <t>H</t>
    </r>
    <r>
      <rPr>
        <sz val="14"/>
        <rFont val="Calibri"/>
        <family val="2"/>
        <scheme val="minor"/>
      </rPr>
      <t xml:space="preserve"> ( kW ) =</t>
    </r>
  </si>
  <si>
    <t>RSD/god</t>
  </si>
  <si>
    <t>kg/god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</si>
  <si>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Замена спољних прозора и врата;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</si>
  <si>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Постављања термичке изолације спољних зидова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</si>
  <si>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Постављања термичке изолације испод кровног покривача или таванице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</si>
  <si>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Замене постојећег грејача простора ефикаснијим котлом на_гас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</si>
  <si>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Замене постојећег грејача простора ефикаснијим котлом на биомасу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</si>
  <si>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Уградња топлотних пумпи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</si>
  <si>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Замене постојеће или уградња нове цевне мреже, грејних тела и пратећег прибора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</si>
  <si>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Уградња соларних колектора у инсталацију за централну припрему потрошне топле воде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</si>
  <si>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Уградња соларних панела и пратеће инсталације за производњу електричне енергије</t>
    </r>
  </si>
  <si>
    <t>Породична кућа</t>
  </si>
  <si>
    <t>Двојна или кућа у низу</t>
  </si>
  <si>
    <t>Стан</t>
  </si>
  <si>
    <r>
      <rPr>
        <sz val="11"/>
        <color rgb="FFFF0000"/>
        <rFont val="Calibri"/>
        <family val="2"/>
        <scheme val="minor"/>
      </rPr>
      <t>Коефицијент провођења топлоте ( W/mK)</t>
    </r>
    <r>
      <rPr>
        <sz val="11"/>
        <color rgb="FFFF0000"/>
        <rFont val="Symbol"/>
        <family val="1"/>
        <charset val="2"/>
      </rPr>
      <t xml:space="preserve"> l</t>
    </r>
    <r>
      <rPr>
        <sz val="11"/>
        <color rgb="FFFF0000"/>
        <rFont val="Calibri"/>
        <family val="2"/>
        <charset val="238"/>
        <scheme val="minor"/>
      </rPr>
      <t>=</t>
    </r>
  </si>
  <si>
    <t>Ширина куће:</t>
  </si>
  <si>
    <t>Дужина куће:</t>
  </si>
  <si>
    <t>Извор постојећег грејања:</t>
  </si>
  <si>
    <t>Површина прозора који се мењају:</t>
  </si>
  <si>
    <t>Тип прозора који се мењају:</t>
  </si>
  <si>
    <t>Стакло:</t>
  </si>
  <si>
    <t>Површина врата која се мењају:</t>
  </si>
  <si>
    <t>Вредност инвестиције (рсд):</t>
  </si>
  <si>
    <t>Новa врата:</t>
  </si>
  <si>
    <t>Предмет енергетске санације:</t>
  </si>
  <si>
    <t>Састав конструкције која се изолује ( уписати у табели дебљину слоја у cm ):</t>
  </si>
  <si>
    <t>lit.</t>
  </si>
  <si>
    <t>Дебљина (cm)</t>
  </si>
  <si>
    <t>цена у дин.</t>
  </si>
  <si>
    <t>потрошња</t>
  </si>
  <si>
    <t>цена kWh</t>
  </si>
  <si>
    <t>дин./год.</t>
  </si>
  <si>
    <t>штаваљ</t>
  </si>
  <si>
    <t>суш.колубара</t>
  </si>
  <si>
    <t>бановићи</t>
  </si>
  <si>
    <t>ковин</t>
  </si>
  <si>
    <t>соко</t>
  </si>
  <si>
    <t>зелена</t>
  </si>
  <si>
    <t>плава</t>
  </si>
  <si>
    <t>црвена</t>
  </si>
  <si>
    <t>Бр дана у месецу</t>
  </si>
  <si>
    <t>Потребно</t>
  </si>
  <si>
    <t>Расположиво</t>
  </si>
  <si>
    <t>Остварено</t>
  </si>
  <si>
    <t>ХОР</t>
  </si>
  <si>
    <t>Просек</t>
  </si>
  <si>
    <t>Јануар</t>
  </si>
  <si>
    <t>Орјентација</t>
  </si>
  <si>
    <t>Фебруар</t>
  </si>
  <si>
    <t>Март</t>
  </si>
  <si>
    <t>Април</t>
  </si>
  <si>
    <t>Мај</t>
  </si>
  <si>
    <t>Јун</t>
  </si>
  <si>
    <t>Јул</t>
  </si>
  <si>
    <t>Август</t>
  </si>
  <si>
    <t>Септембар</t>
  </si>
  <si>
    <t>Октобар</t>
  </si>
  <si>
    <t>Новембар</t>
  </si>
  <si>
    <t>Децембар</t>
  </si>
  <si>
    <t>ИСПОРУЧЕНА ЕНЕРГИЈА</t>
  </si>
  <si>
    <t>СМАЊЕЊЕ (CO2)</t>
  </si>
  <si>
    <t xml:space="preserve"> - ПОВЕЋАЊЕ КОЛИЧИНЕ ЕНЕРГИЈЕ ПРОИЗВЕДЕНЕ ИЗ ОБНОВЉИВИХ ИЗВОРА</t>
  </si>
  <si>
    <r>
      <t xml:space="preserve"> - степен корисности ( %</t>
    </r>
    <r>
      <rPr>
        <sz val="11"/>
        <color theme="1"/>
        <rFont val="Calibri"/>
        <family val="2"/>
        <scheme val="minor"/>
      </rPr>
      <t xml:space="preserve"> )</t>
    </r>
  </si>
  <si>
    <t>Нето површина:</t>
  </si>
  <si>
    <t>Srednje sume Sunčevog zračenja</t>
  </si>
  <si>
    <r>
      <t xml:space="preserve"> -средња јединична вредност енергије дозраченог директног и дифузног зрачења ( 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)</t>
    </r>
  </si>
  <si>
    <t xml:space="preserve"> - снага инсталираних соларних колектора ( kW )</t>
  </si>
  <si>
    <t xml:space="preserve"> - ГОДИШЊА ИСПОРУЧЕНА ЕЛЕКТРИЧНА ЕНЕРГИЈА ПРЕ УГРАДЊЕ СОЛАРНИХ ПАНЕЛА</t>
  </si>
  <si>
    <t>вредност инвестиције :</t>
  </si>
  <si>
    <t>(рсд)</t>
  </si>
  <si>
    <t>ГРЕШКЕ:</t>
  </si>
  <si>
    <r>
      <t xml:space="preserve"> - инсталирана снага соларних панела у пику ( kWp</t>
    </r>
    <r>
      <rPr>
        <sz val="11"/>
        <color theme="1"/>
        <rFont val="Calibri"/>
        <family val="2"/>
        <scheme val="minor"/>
      </rPr>
      <t xml:space="preserve"> )</t>
    </r>
  </si>
  <si>
    <t xml:space="preserve"> - УШТЕДА ИСПОРУЧЕНЕ ЕНЕРГИЈЕ ОСТВАРЕНА УГРАДЊОМ ТОПЛОТНЕ ПУМПЕ</t>
  </si>
  <si>
    <r>
      <t>површина која се изолује ( м</t>
    </r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 xml:space="preserve"> )</t>
    </r>
  </si>
  <si>
    <t xml:space="preserve"> - ГОДИШЊА ИСПОРУЧЕНА ЕЛЕКТРИЧНА ЕНЕРГИЈА ПОСЛЕ УГРАДЊЕ СОЛАРНИХ ПАНЕЛА</t>
  </si>
  <si>
    <t xml:space="preserve"> - ПРОЦЕНАТ УШТЕДЕ ИСПОРУЧЕНЕ ЕНЕРГИЈЕ</t>
  </si>
  <si>
    <t xml:space="preserve"> - ЦЕНА ПОТРЕБНИХ ЕНЕРГЕНАТА НА ГОДИШЊЕМ НИВОУ ПРЕ ЗАМЕНЕ СИСТЕМА ГРЕЈАЊА ( дин. ) </t>
  </si>
  <si>
    <t xml:space="preserve"> - фактор претварања примарне енергије постојећег система грејања</t>
  </si>
  <si>
    <t xml:space="preserve"> - фактор претварања примарне енергије новог система грејања</t>
  </si>
  <si>
    <t>Број просторија:</t>
  </si>
  <si>
    <t>једноструко застакљење</t>
  </si>
  <si>
    <t>двоструко застакљење ( два стакла у истом профилу )</t>
  </si>
  <si>
    <t>двоструко застакљење ( дупла крила )</t>
  </si>
  <si>
    <t>Материјал врата која се мењају:</t>
  </si>
  <si>
    <t>Коефицијент провођења топлоте U=</t>
  </si>
  <si>
    <t>Нова инсталација:</t>
  </si>
  <si>
    <t>ако је цевна мрежа вођена кроз негрејани простор да ли је изолована?</t>
  </si>
  <si>
    <t xml:space="preserve"> - годишња уштеда због смањења вентилационих губитака</t>
  </si>
  <si>
    <t>Домаћинство је:</t>
  </si>
  <si>
    <t>информација о начину регулације:</t>
  </si>
  <si>
    <t>Снага панела у пику:</t>
  </si>
  <si>
    <t>kWp / панел</t>
  </si>
  <si>
    <t>Број инсталираних панела:</t>
  </si>
  <si>
    <t xml:space="preserve"> - број инсталираних панела</t>
  </si>
  <si>
    <r>
      <t xml:space="preserve"> - јединична снага соларних панела у пику ( kWp / панел</t>
    </r>
    <r>
      <rPr>
        <sz val="11"/>
        <color theme="1"/>
        <rFont val="Calibri"/>
        <family val="2"/>
        <scheme val="minor"/>
      </rPr>
      <t xml:space="preserve"> )</t>
    </r>
  </si>
  <si>
    <t xml:space="preserve"> - ИЗВРШЕНА САНАЦИЈА СИСТЕМА ГРЕЈАЊА</t>
  </si>
  <si>
    <t>ИНВЕСТИЦИЈА:</t>
  </si>
  <si>
    <t>ЗИД</t>
  </si>
  <si>
    <t>За случај стандардног и напредног пакета извршен је прво прорачун уштеде потребне енергије за санацију омотача и потом са новодобијеном потребном енергијом врши се прорачун уштеде испоручене и примарне енергије;</t>
  </si>
  <si>
    <t>Рачун новчане уштеде је орјентационог карактера због сталне промене цена енергената.</t>
  </si>
  <si>
    <t>При процени уштеда остварених енергетском санацијом коришћене су одредбе:</t>
  </si>
  <si>
    <r>
      <t>Средње суме сунчевог зрачења (kWh/m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</si>
  <si>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Референтна област-округ:</t>
  </si>
  <si>
    <t>18.12.2023</t>
  </si>
  <si>
    <t xml:space="preserve"> - НОВИ ИЗВОР ГРЕЈАЊА</t>
  </si>
  <si>
    <t xml:space="preserve"> - Правилника о енергетској ефикасности зграда, на основу броја степен-дана за период 1991-2020 (подаци РХМЗ), за одговарајуће најближе географско место за које постоји податак;</t>
  </si>
  <si>
    <t xml:space="preserve"> - Правилника о методологији за прорачун уштеда енергије које су резултат спроведених мера енергетске ефикасности;</t>
  </si>
  <si>
    <t>За све специјалне случајеве који нису покривени овим калкулатором обратити се Јединици за Имплементацију Пројекта (нпр.изолација делова термичког омотача који нису понуђени );</t>
  </si>
  <si>
    <r>
      <t>Рачун уштеде испоручене и примарне енергије као и новчана уштеда и смањење СО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при замени начина грејања одређује се као разлика вредности са постојећим и вредности са новим енергентом;</t>
    </r>
  </si>
  <si>
    <t>ЗАПИСНИК О ИЗВРШЕНОЈ ЕНЕРГЕТСКОЈ САНАЦИЈИ КУЋЕ/СТАНА</t>
  </si>
  <si>
    <t>КОЕФИЦИЈЕНТИ ПРОЛАЗА ТОПЛОТЕ Е ПРЕМА НАЦИОНАЛНОЈ ТИПОЛОГИЈИ И ТАБЕЛИ 7 ПРАВИЛНИКА О УШТЕДАМА ЕНЕРГИЈЕ</t>
  </si>
  <si>
    <t>чврсто гориво</t>
  </si>
  <si>
    <t>гасовито гориво</t>
  </si>
  <si>
    <t>пећи</t>
  </si>
  <si>
    <t>котлови</t>
  </si>
  <si>
    <t>са регулацијом</t>
  </si>
  <si>
    <t>Степен корисности пећи и котлова - Табела 5 Правилника о уштедама енергије</t>
  </si>
  <si>
    <t>Врста горива</t>
  </si>
  <si>
    <t>извор</t>
  </si>
  <si>
    <t>регулација</t>
  </si>
  <si>
    <t>без регулације</t>
  </si>
  <si>
    <t>Степен корисности у зависности од изолованости цевне мреже</t>
  </si>
  <si>
    <t>неизолована мрежа унутар објекта</t>
  </si>
  <si>
    <t>изолована цевна мрежа у негрејаном делу</t>
  </si>
  <si>
    <t>степен корисности</t>
  </si>
  <si>
    <r>
      <t>h</t>
    </r>
    <r>
      <rPr>
        <b/>
        <vertAlign val="subscript"/>
        <sz val="11"/>
        <color theme="1"/>
        <rFont val="Calibri"/>
        <family val="2"/>
        <scheme val="minor"/>
      </rPr>
      <t>k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</si>
  <si>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</si>
  <si>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r</t>
    </r>
  </si>
  <si>
    <t>Степен корисности у зависности од начина регулације</t>
  </si>
  <si>
    <t>аутоматсна централна и локална</t>
  </si>
  <si>
    <t>начин регулације</t>
  </si>
  <si>
    <t>аутоматсна централна</t>
  </si>
  <si>
    <r>
      <t>ПРОСЕК(kWh/m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</si>
  <si>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SCOP:</t>
  </si>
  <si>
    <t>Тип топлотне пумпе:</t>
  </si>
  <si>
    <t>ваздух-ваздух</t>
  </si>
  <si>
    <t>ваздух-вода</t>
  </si>
  <si>
    <t>вода-вода</t>
  </si>
  <si>
    <t>земља-вода</t>
  </si>
  <si>
    <t>подстаница ДСГ</t>
  </si>
  <si>
    <t>ручна</t>
  </si>
  <si>
    <t>аутоматска локална ( термостат на радијатору, пећи, грејалици, клима уређају... )</t>
  </si>
  <si>
    <t>аутоматска централна ( термостат на централном извору топлоте... )</t>
  </si>
  <si>
    <t>Ug=</t>
  </si>
  <si>
    <t>Подаци о новим прозорима:</t>
  </si>
  <si>
    <t>Uw=</t>
  </si>
  <si>
    <t>Uf=</t>
  </si>
  <si>
    <r>
      <t>f</t>
    </r>
    <r>
      <rPr>
        <vertAlign val="subscript"/>
        <sz val="11"/>
        <color rgb="FFFF0000"/>
        <rFont val="Calibri"/>
        <family val="2"/>
        <scheme val="minor"/>
      </rPr>
      <t>fr</t>
    </r>
    <r>
      <rPr>
        <sz val="11"/>
        <color rgb="FFFF0000"/>
        <rFont val="Calibri"/>
        <family val="2"/>
        <scheme val="minor"/>
      </rPr>
      <t>=</t>
    </r>
  </si>
  <si>
    <t xml:space="preserve"> - фактор рама</t>
  </si>
  <si>
    <t>y=</t>
  </si>
  <si>
    <t xml:space="preserve"> - фактор топлотног моста</t>
  </si>
  <si>
    <t>Ag=</t>
  </si>
  <si>
    <t>l=</t>
  </si>
  <si>
    <t xml:space="preserve"> - укупна површина стакла свих прозора</t>
  </si>
  <si>
    <t xml:space="preserve"> - укупна површина рама свих прозора</t>
  </si>
  <si>
    <t xml:space="preserve"> - укупна дужина споја рам-стакло свих прозора</t>
  </si>
  <si>
    <t>Af=</t>
  </si>
  <si>
    <t xml:space="preserve"> </t>
  </si>
  <si>
    <r>
      <rPr>
        <sz val="11"/>
        <color rgb="FFFF0000"/>
        <rFont val="Calibri"/>
        <family val="2"/>
        <scheme val="minor"/>
      </rPr>
      <t>W/m</t>
    </r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charset val="238"/>
        <scheme val="minor"/>
      </rPr>
      <t>K- рачунска вредност коефицијента пролаза топлоте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</si>
</sst>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"/>
    <numFmt numFmtId="167" formatCode="#,##0.00000"/>
    <numFmt numFmtId="168" formatCode="0.00000"/>
    <numFmt numFmtId="169" formatCode="0.000"/>
  </numFmts>
  <fonts count="5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1"/>
      <charset val="2"/>
      <scheme val="minor"/>
    </font>
    <font>
      <sz val="11"/>
      <color rgb="FFFF0000"/>
      <name val="Symbol"/>
      <family val="1"/>
      <charset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7"/>
      <color rgb="FF000000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vertAlign val="subscript"/>
      <sz val="18"/>
      <name val="Calibri"/>
      <family val="2"/>
      <scheme val="minor"/>
    </font>
    <font>
      <sz val="14"/>
      <name val="Calibri"/>
      <family val="2"/>
      <scheme val="minor"/>
    </font>
    <font>
      <vertAlign val="subscript"/>
      <sz val="14"/>
      <name val="Calibri"/>
      <family val="2"/>
      <scheme val="minor"/>
    </font>
    <font>
      <sz val="10"/>
      <name val="Calibri"/>
      <family val="2"/>
    </font>
    <font>
      <sz val="8"/>
      <name val="Calibri"/>
      <family val="2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9"/>
      <color indexed="81"/>
      <name val="Tahoma"/>
      <family val="2"/>
    </font>
    <font>
      <vertAlign val="superscript"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vertAlign val="superscript"/>
      <sz val="12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"/>
      <scheme val="minor"/>
    </font>
    <font>
      <sz val="11"/>
      <color rgb="FF000000"/>
      <name val="Calibri"/>
      <family val="2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F1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/>
    <xf numFmtId="2" fontId="0" fillId="0" borderId="0" xfId="0" applyNumberFormat="1"/>
    <xf numFmtId="1" fontId="9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/>
    <xf numFmtId="164" fontId="0" fillId="0" borderId="0" xfId="0" applyNumberFormat="1"/>
    <xf numFmtId="0" fontId="11" fillId="0" borderId="0" xfId="0" applyFont="1"/>
    <xf numFmtId="0" fontId="0" fillId="0" borderId="6" xfId="0" applyBorder="1"/>
    <xf numFmtId="0" fontId="9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0" fontId="16" fillId="0" borderId="0" xfId="0" applyFont="1" applyAlignment="1">
      <alignment horizontal="right"/>
    </xf>
    <xf numFmtId="0" fontId="0" fillId="0" borderId="13" xfId="0" applyBorder="1"/>
    <xf numFmtId="0" fontId="9" fillId="0" borderId="0" xfId="0" applyFont="1" applyAlignment="1">
      <alignment horizontal="right"/>
    </xf>
    <xf numFmtId="0" fontId="0" fillId="0" borderId="6" xfId="0" applyBorder="1" applyAlignment="1">
      <alignment horizontal="left"/>
    </xf>
    <xf numFmtId="0" fontId="12" fillId="3" borderId="0" xfId="0" applyFont="1" applyFill="1" applyAlignment="1">
      <alignment horizontal="right"/>
    </xf>
    <xf numFmtId="9" fontId="0" fillId="0" borderId="0" xfId="0" applyNumberFormat="1"/>
    <xf numFmtId="0" fontId="6" fillId="0" borderId="0" xfId="0" applyFont="1"/>
    <xf numFmtId="0" fontId="5" fillId="0" borderId="0" xfId="0" applyFont="1"/>
    <xf numFmtId="0" fontId="5" fillId="0" borderId="6" xfId="0" applyFont="1" applyBorder="1"/>
    <xf numFmtId="1" fontId="0" fillId="0" borderId="0" xfId="0" applyNumberFormat="1" applyAlignment="1">
      <alignment horizontal="center"/>
    </xf>
    <xf numFmtId="1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left"/>
    </xf>
    <xf numFmtId="0" fontId="9" fillId="0" borderId="6" xfId="0" applyFont="1" applyBorder="1"/>
    <xf numFmtId="0" fontId="0" fillId="0" borderId="7" xfId="0" applyBorder="1"/>
    <xf numFmtId="0" fontId="0" fillId="0" borderId="5" xfId="0" applyBorder="1"/>
    <xf numFmtId="0" fontId="9" fillId="0" borderId="10" xfId="0" applyFont="1" applyBorder="1" applyAlignment="1">
      <alignment horizontal="right"/>
    </xf>
    <xf numFmtId="0" fontId="0" fillId="0" borderId="17" xfId="0" applyBorder="1"/>
    <xf numFmtId="1" fontId="0" fillId="0" borderId="17" xfId="0" applyNumberFormat="1" applyBorder="1" applyAlignment="1">
      <alignment horizontal="lef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left"/>
    </xf>
    <xf numFmtId="0" fontId="29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164" fontId="10" fillId="4" borderId="6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27" fillId="0" borderId="6" xfId="0" applyFont="1" applyBorder="1" applyAlignment="1">
      <alignment horizontal="center"/>
    </xf>
    <xf numFmtId="164" fontId="33" fillId="0" borderId="6" xfId="0" applyNumberFormat="1" applyFont="1" applyBorder="1" applyAlignment="1">
      <alignment horizontal="center"/>
    </xf>
    <xf numFmtId="0" fontId="34" fillId="0" borderId="6" xfId="0" applyFont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164" fontId="33" fillId="2" borderId="6" xfId="0" applyNumberFormat="1" applyFont="1" applyFill="1" applyBorder="1" applyAlignment="1">
      <alignment horizontal="center"/>
    </xf>
    <xf numFmtId="0" fontId="32" fillId="2" borderId="6" xfId="0" applyFont="1" applyFill="1" applyBorder="1" applyAlignment="1">
      <alignment horizontal="left"/>
    </xf>
    <xf numFmtId="0" fontId="34" fillId="2" borderId="6" xfId="0" applyFont="1" applyFill="1" applyBorder="1"/>
    <xf numFmtId="3" fontId="9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3" fontId="10" fillId="0" borderId="37" xfId="0" applyNumberFormat="1" applyFont="1" applyBorder="1" applyAlignment="1">
      <alignment horizontal="center"/>
    </xf>
    <xf numFmtId="3" fontId="10" fillId="0" borderId="36" xfId="0" applyNumberFormat="1" applyFont="1" applyBorder="1" applyAlignment="1">
      <alignment horizontal="right"/>
    </xf>
    <xf numFmtId="0" fontId="23" fillId="0" borderId="0" xfId="0" applyFont="1" applyAlignment="1">
      <alignment horizontal="left"/>
    </xf>
    <xf numFmtId="1" fontId="35" fillId="0" borderId="0" xfId="0" applyNumberFormat="1" applyFont="1" applyAlignment="1">
      <alignment horizontal="center"/>
    </xf>
    <xf numFmtId="1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/>
    </xf>
    <xf numFmtId="1" fontId="38" fillId="0" borderId="0" xfId="0" applyNumberFormat="1" applyFont="1" applyAlignment="1">
      <alignment horizontal="left"/>
    </xf>
    <xf numFmtId="0" fontId="38" fillId="0" borderId="0" xfId="0" applyFont="1"/>
    <xf numFmtId="0" fontId="40" fillId="0" borderId="0" xfId="0" applyFont="1" applyAlignment="1">
      <alignment horizontal="left"/>
    </xf>
    <xf numFmtId="0" fontId="40" fillId="0" borderId="0" xfId="0" applyFont="1"/>
    <xf numFmtId="0" fontId="41" fillId="0" borderId="0" xfId="0" applyFont="1"/>
    <xf numFmtId="0" fontId="0" fillId="7" borderId="0" xfId="0" applyFill="1"/>
    <xf numFmtId="0" fontId="44" fillId="0" borderId="0" xfId="0" applyFont="1"/>
    <xf numFmtId="3" fontId="10" fillId="0" borderId="0" xfId="0" applyNumberFormat="1" applyFont="1" applyAlignment="1">
      <alignment horizontal="right"/>
    </xf>
    <xf numFmtId="0" fontId="0" fillId="8" borderId="0" xfId="0" applyFill="1" applyAlignment="1">
      <alignment horizontal="right"/>
    </xf>
    <xf numFmtId="1" fontId="0" fillId="8" borderId="0" xfId="0" applyNumberFormat="1" applyFill="1" applyAlignment="1">
      <alignment horizontal="center"/>
    </xf>
    <xf numFmtId="0" fontId="0" fillId="8" borderId="0" xfId="0" applyFill="1"/>
    <xf numFmtId="3" fontId="10" fillId="8" borderId="0" xfId="0" applyNumberFormat="1" applyFont="1" applyFill="1" applyAlignment="1">
      <alignment horizontal="center"/>
    </xf>
    <xf numFmtId="3" fontId="10" fillId="8" borderId="0" xfId="0" applyNumberFormat="1" applyFont="1" applyFill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0" fillId="2" borderId="6" xfId="0" applyFill="1" applyBorder="1" applyProtection="1">
      <protection locked="0"/>
    </xf>
    <xf numFmtId="1" fontId="0" fillId="9" borderId="0" xfId="0" applyNumberFormat="1" applyFill="1" applyAlignment="1">
      <alignment horizontal="right"/>
    </xf>
    <xf numFmtId="0" fontId="0" fillId="9" borderId="1" xfId="0" applyFill="1" applyBorder="1"/>
    <xf numFmtId="0" fontId="9" fillId="9" borderId="45" xfId="0" applyFont="1" applyFill="1" applyBorder="1"/>
    <xf numFmtId="0" fontId="9" fillId="9" borderId="43" xfId="0" applyFont="1" applyFill="1" applyBorder="1"/>
    <xf numFmtId="0" fontId="9" fillId="9" borderId="44" xfId="0" applyFont="1" applyFill="1" applyBorder="1"/>
    <xf numFmtId="0" fontId="0" fillId="9" borderId="46" xfId="0" applyFill="1" applyBorder="1"/>
    <xf numFmtId="0" fontId="0" fillId="9" borderId="8" xfId="0" applyFill="1" applyBorder="1"/>
    <xf numFmtId="0" fontId="0" fillId="9" borderId="41" xfId="0" applyFill="1" applyBorder="1"/>
    <xf numFmtId="0" fontId="0" fillId="9" borderId="5" xfId="0" applyFill="1" applyBorder="1"/>
    <xf numFmtId="1" fontId="9" fillId="9" borderId="29" xfId="0" applyNumberFormat="1" applyFont="1" applyFill="1" applyBorder="1"/>
    <xf numFmtId="1" fontId="0" fillId="9" borderId="46" xfId="0" applyNumberFormat="1" applyFill="1" applyBorder="1"/>
    <xf numFmtId="1" fontId="0" fillId="9" borderId="8" xfId="0" applyNumberFormat="1" applyFill="1" applyBorder="1"/>
    <xf numFmtId="1" fontId="9" fillId="9" borderId="30" xfId="0" applyNumberFormat="1" applyFont="1" applyFill="1" applyBorder="1"/>
    <xf numFmtId="1" fontId="0" fillId="9" borderId="16" xfId="0" applyNumberFormat="1" applyFill="1" applyBorder="1"/>
    <xf numFmtId="1" fontId="0" fillId="9" borderId="6" xfId="0" applyNumberFormat="1" applyFill="1" applyBorder="1"/>
    <xf numFmtId="1" fontId="0" fillId="9" borderId="21" xfId="0" applyNumberFormat="1" applyFill="1" applyBorder="1"/>
    <xf numFmtId="0" fontId="0" fillId="9" borderId="6" xfId="0" applyFill="1" applyBorder="1"/>
    <xf numFmtId="0" fontId="0" fillId="9" borderId="21" xfId="0" applyFill="1" applyBorder="1"/>
    <xf numFmtId="1" fontId="9" fillId="9" borderId="51" xfId="0" applyNumberFormat="1" applyFont="1" applyFill="1" applyBorder="1"/>
    <xf numFmtId="1" fontId="0" fillId="9" borderId="48" xfId="0" applyNumberFormat="1" applyFill="1" applyBorder="1"/>
    <xf numFmtId="1" fontId="0" fillId="9" borderId="7" xfId="0" applyNumberFormat="1" applyFill="1" applyBorder="1"/>
    <xf numFmtId="0" fontId="0" fillId="9" borderId="7" xfId="0" applyFill="1" applyBorder="1"/>
    <xf numFmtId="0" fontId="0" fillId="9" borderId="49" xfId="0" applyFill="1" applyBorder="1"/>
    <xf numFmtId="0" fontId="0" fillId="9" borderId="6" xfId="0" applyFill="1" applyBorder="1" applyAlignment="1">
      <alignment horizontal="center"/>
    </xf>
    <xf numFmtId="2" fontId="0" fillId="9" borderId="6" xfId="0" applyNumberFormat="1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9" fillId="9" borderId="31" xfId="0" applyFont="1" applyFill="1" applyBorder="1"/>
    <xf numFmtId="0" fontId="0" fillId="9" borderId="22" xfId="0" applyFill="1" applyBorder="1"/>
    <xf numFmtId="0" fontId="0" fillId="9" borderId="24" xfId="0" applyFill="1" applyBorder="1"/>
    <xf numFmtId="0" fontId="0" fillId="9" borderId="47" xfId="0" applyFill="1" applyBorder="1"/>
    <xf numFmtId="0" fontId="0" fillId="9" borderId="40" xfId="0" applyFill="1" applyBorder="1"/>
    <xf numFmtId="0" fontId="0" fillId="9" borderId="30" xfId="0" applyFill="1" applyBorder="1"/>
    <xf numFmtId="0" fontId="0" fillId="9" borderId="20" xfId="0" applyFill="1" applyBorder="1"/>
    <xf numFmtId="0" fontId="0" fillId="9" borderId="31" xfId="0" applyFill="1" applyBorder="1"/>
    <xf numFmtId="0" fontId="0" fillId="9" borderId="18" xfId="0" applyFill="1" applyBorder="1"/>
    <xf numFmtId="0" fontId="26" fillId="9" borderId="20" xfId="0" applyFont="1" applyFill="1" applyBorder="1"/>
    <xf numFmtId="0" fontId="26" fillId="9" borderId="6" xfId="0" applyFont="1" applyFill="1" applyBorder="1"/>
    <xf numFmtId="0" fontId="0" fillId="9" borderId="23" xfId="0" applyFill="1" applyBorder="1"/>
    <xf numFmtId="0" fontId="9" fillId="9" borderId="2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3" fontId="0" fillId="9" borderId="29" xfId="0" applyNumberFormat="1" applyFill="1" applyBorder="1" applyAlignment="1">
      <alignment horizontal="center"/>
    </xf>
    <xf numFmtId="3" fontId="0" fillId="9" borderId="30" xfId="0" applyNumberFormat="1" applyFill="1" applyBorder="1" applyAlignment="1">
      <alignment horizontal="center"/>
    </xf>
    <xf numFmtId="3" fontId="0" fillId="9" borderId="31" xfId="0" applyNumberFormat="1" applyFill="1" applyBorder="1" applyAlignment="1">
      <alignment horizontal="center"/>
    </xf>
    <xf numFmtId="165" fontId="0" fillId="9" borderId="30" xfId="0" applyNumberFormat="1" applyFill="1" applyBorder="1" applyAlignment="1">
      <alignment horizontal="center"/>
    </xf>
    <xf numFmtId="4" fontId="0" fillId="9" borderId="31" xfId="0" applyNumberFormat="1" applyFill="1" applyBorder="1" applyAlignment="1">
      <alignment horizontal="center"/>
    </xf>
    <xf numFmtId="0" fontId="9" fillId="9" borderId="42" xfId="0" applyFont="1" applyFill="1" applyBorder="1"/>
    <xf numFmtId="0" fontId="0" fillId="9" borderId="32" xfId="0" applyFill="1" applyBorder="1"/>
    <xf numFmtId="0" fontId="0" fillId="9" borderId="33" xfId="0" applyFill="1" applyBorder="1"/>
    <xf numFmtId="2" fontId="0" fillId="9" borderId="6" xfId="0" applyNumberFormat="1" applyFill="1" applyBorder="1"/>
    <xf numFmtId="0" fontId="9" fillId="9" borderId="13" xfId="0" applyFont="1" applyFill="1" applyBorder="1" applyAlignment="1">
      <alignment horizontal="center"/>
    </xf>
    <xf numFmtId="0" fontId="0" fillId="9" borderId="32" xfId="0" applyFill="1" applyBorder="1" applyAlignment="1">
      <alignment horizontal="right"/>
    </xf>
    <xf numFmtId="0" fontId="0" fillId="9" borderId="20" xfId="0" applyFill="1" applyBorder="1" applyAlignment="1">
      <alignment horizontal="right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right"/>
    </xf>
    <xf numFmtId="0" fontId="0" fillId="9" borderId="24" xfId="0" applyFill="1" applyBorder="1" applyAlignment="1">
      <alignment horizontal="center"/>
    </xf>
    <xf numFmtId="0" fontId="0" fillId="9" borderId="42" xfId="0" applyFill="1" applyBorder="1" applyAlignment="1">
      <alignment horizontal="right"/>
    </xf>
    <xf numFmtId="0" fontId="0" fillId="9" borderId="44" xfId="0" applyFill="1" applyBorder="1" applyAlignment="1">
      <alignment horizontal="center"/>
    </xf>
    <xf numFmtId="0" fontId="9" fillId="9" borderId="6" xfId="0" applyFont="1" applyFill="1" applyBorder="1" applyAlignment="1">
      <alignment horizontal="right"/>
    </xf>
    <xf numFmtId="0" fontId="3" fillId="9" borderId="6" xfId="0" applyFont="1" applyFill="1" applyBorder="1" applyAlignment="1">
      <alignment horizontal="right"/>
    </xf>
    <xf numFmtId="3" fontId="0" fillId="10" borderId="0" xfId="0" applyNumberFormat="1" applyFill="1" applyAlignment="1">
      <alignment horizontal="left"/>
    </xf>
    <xf numFmtId="165" fontId="0" fillId="10" borderId="0" xfId="0" applyNumberFormat="1" applyFill="1" applyAlignment="1">
      <alignment horizontal="left"/>
    </xf>
    <xf numFmtId="3" fontId="9" fillId="10" borderId="0" xfId="0" applyNumberFormat="1" applyFont="1" applyFill="1" applyAlignment="1">
      <alignment horizontal="left"/>
    </xf>
    <xf numFmtId="1" fontId="0" fillId="10" borderId="0" xfId="0" applyNumberFormat="1" applyFill="1" applyAlignment="1">
      <alignment horizontal="left"/>
    </xf>
    <xf numFmtId="0" fontId="0" fillId="10" borderId="0" xfId="0" applyFill="1" applyAlignment="1">
      <alignment horizontal="left"/>
    </xf>
    <xf numFmtId="0" fontId="4" fillId="10" borderId="0" xfId="0" applyFont="1" applyFill="1" applyAlignment="1">
      <alignment horizontal="left"/>
    </xf>
    <xf numFmtId="0" fontId="0" fillId="10" borderId="0" xfId="0" applyFill="1" applyAlignment="1">
      <alignment horizontal="right"/>
    </xf>
    <xf numFmtId="3" fontId="10" fillId="10" borderId="1" xfId="0" applyNumberFormat="1" applyFont="1" applyFill="1" applyBorder="1" applyAlignment="1">
      <alignment horizontal="center"/>
    </xf>
    <xf numFmtId="3" fontId="10" fillId="10" borderId="9" xfId="0" applyNumberFormat="1" applyFont="1" applyFill="1" applyBorder="1" applyAlignment="1">
      <alignment horizontal="center"/>
    </xf>
    <xf numFmtId="3" fontId="0" fillId="10" borderId="13" xfId="0" applyNumberFormat="1" applyFill="1" applyBorder="1" applyAlignment="1">
      <alignment horizontal="center"/>
    </xf>
    <xf numFmtId="3" fontId="10" fillId="10" borderId="9" xfId="0" applyNumberFormat="1" applyFont="1" applyFill="1" applyBorder="1" applyAlignment="1">
      <alignment horizontal="left"/>
    </xf>
    <xf numFmtId="0" fontId="0" fillId="10" borderId="6" xfId="0" applyFill="1" applyBorder="1" applyAlignment="1">
      <alignment horizontal="center"/>
    </xf>
    <xf numFmtId="3" fontId="0" fillId="10" borderId="6" xfId="0" applyNumberFormat="1" applyFill="1" applyBorder="1" applyAlignment="1">
      <alignment horizontal="center"/>
    </xf>
    <xf numFmtId="0" fontId="9" fillId="10" borderId="13" xfId="0" applyFont="1" applyFill="1" applyBorder="1" applyAlignment="1">
      <alignment horizontal="center"/>
    </xf>
    <xf numFmtId="0" fontId="0" fillId="10" borderId="19" xfId="0" applyFill="1" applyBorder="1"/>
    <xf numFmtId="0" fontId="26" fillId="10" borderId="21" xfId="0" applyFont="1" applyFill="1" applyBorder="1"/>
    <xf numFmtId="2" fontId="0" fillId="10" borderId="21" xfId="0" applyNumberFormat="1" applyFill="1" applyBorder="1"/>
    <xf numFmtId="2" fontId="0" fillId="10" borderId="24" xfId="0" applyNumberFormat="1" applyFill="1" applyBorder="1"/>
    <xf numFmtId="0" fontId="0" fillId="10" borderId="20" xfId="0" applyFill="1" applyBorder="1"/>
    <xf numFmtId="0" fontId="26" fillId="10" borderId="15" xfId="0" applyFont="1" applyFill="1" applyBorder="1"/>
    <xf numFmtId="2" fontId="0" fillId="10" borderId="15" xfId="0" applyNumberFormat="1" applyFill="1" applyBorder="1"/>
    <xf numFmtId="2" fontId="0" fillId="10" borderId="28" xfId="0" applyNumberFormat="1" applyFill="1" applyBorder="1"/>
    <xf numFmtId="0" fontId="9" fillId="10" borderId="2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167" fontId="0" fillId="10" borderId="29" xfId="0" applyNumberFormat="1" applyFill="1" applyBorder="1" applyAlignment="1">
      <alignment horizontal="center"/>
    </xf>
    <xf numFmtId="3" fontId="0" fillId="10" borderId="29" xfId="0" applyNumberFormat="1" applyFill="1" applyBorder="1" applyAlignment="1">
      <alignment horizontal="center"/>
    </xf>
    <xf numFmtId="166" fontId="0" fillId="10" borderId="30" xfId="0" applyNumberFormat="1" applyFill="1" applyBorder="1" applyAlignment="1">
      <alignment horizontal="center"/>
    </xf>
    <xf numFmtId="3" fontId="0" fillId="10" borderId="30" xfId="0" applyNumberFormat="1" applyFill="1" applyBorder="1" applyAlignment="1">
      <alignment horizontal="center"/>
    </xf>
    <xf numFmtId="165" fontId="0" fillId="10" borderId="30" xfId="0" applyNumberFormat="1" applyFill="1" applyBorder="1" applyAlignment="1">
      <alignment horizontal="center"/>
    </xf>
    <xf numFmtId="3" fontId="0" fillId="10" borderId="31" xfId="0" applyNumberFormat="1" applyFill="1" applyBorder="1" applyAlignment="1">
      <alignment horizontal="center"/>
    </xf>
    <xf numFmtId="4" fontId="0" fillId="10" borderId="29" xfId="0" applyNumberFormat="1" applyFill="1" applyBorder="1" applyAlignment="1">
      <alignment horizontal="center"/>
    </xf>
    <xf numFmtId="4" fontId="0" fillId="10" borderId="30" xfId="0" applyNumberFormat="1" applyFill="1" applyBorder="1" applyAlignment="1">
      <alignment horizontal="center"/>
    </xf>
    <xf numFmtId="4" fontId="0" fillId="10" borderId="31" xfId="0" applyNumberFormat="1" applyFill="1" applyBorder="1" applyAlignment="1">
      <alignment horizontal="center"/>
    </xf>
    <xf numFmtId="0" fontId="9" fillId="10" borderId="2" xfId="0" applyFont="1" applyFill="1" applyBorder="1"/>
    <xf numFmtId="0" fontId="9" fillId="10" borderId="3" xfId="0" applyFont="1" applyFill="1" applyBorder="1"/>
    <xf numFmtId="3" fontId="0" fillId="10" borderId="30" xfId="0" applyNumberFormat="1" applyFill="1" applyBorder="1"/>
    <xf numFmtId="0" fontId="9" fillId="10" borderId="43" xfId="0" applyFont="1" applyFill="1" applyBorder="1"/>
    <xf numFmtId="1" fontId="0" fillId="10" borderId="21" xfId="0" applyNumberFormat="1" applyFill="1" applyBorder="1"/>
    <xf numFmtId="0" fontId="0" fillId="10" borderId="33" xfId="0" applyFill="1" applyBorder="1"/>
    <xf numFmtId="1" fontId="0" fillId="10" borderId="6" xfId="0" applyNumberFormat="1" applyFill="1" applyBorder="1"/>
    <xf numFmtId="0" fontId="0" fillId="10" borderId="6" xfId="0" applyFill="1" applyBorder="1"/>
    <xf numFmtId="2" fontId="0" fillId="10" borderId="6" xfId="0" applyNumberFormat="1" applyFill="1" applyBorder="1"/>
    <xf numFmtId="0" fontId="0" fillId="10" borderId="23" xfId="0" applyFill="1" applyBorder="1"/>
    <xf numFmtId="0" fontId="9" fillId="10" borderId="6" xfId="0" applyFont="1" applyFill="1" applyBorder="1" applyAlignment="1">
      <alignment horizontal="left" wrapText="1"/>
    </xf>
    <xf numFmtId="0" fontId="0" fillId="10" borderId="6" xfId="0" applyFill="1" applyBorder="1" applyAlignment="1">
      <alignment horizontal="center" wrapText="1"/>
    </xf>
    <xf numFmtId="2" fontId="0" fillId="10" borderId="6" xfId="0" applyNumberFormat="1" applyFill="1" applyBorder="1" applyAlignment="1">
      <alignment horizontal="center"/>
    </xf>
    <xf numFmtId="164" fontId="0" fillId="10" borderId="6" xfId="0" applyNumberFormat="1" applyFill="1" applyBorder="1" applyAlignment="1">
      <alignment horizontal="center"/>
    </xf>
    <xf numFmtId="3" fontId="9" fillId="10" borderId="6" xfId="0" applyNumberFormat="1" applyFont="1" applyFill="1" applyBorder="1" applyAlignment="1">
      <alignment horizontal="center"/>
    </xf>
    <xf numFmtId="1" fontId="9" fillId="10" borderId="0" xfId="0" applyNumberFormat="1" applyFont="1" applyFill="1" applyAlignment="1">
      <alignment horizontal="center"/>
    </xf>
    <xf numFmtId="3" fontId="9" fillId="10" borderId="0" xfId="0" applyNumberFormat="1" applyFont="1" applyFill="1" applyAlignment="1">
      <alignment horizontal="center"/>
    </xf>
    <xf numFmtId="3" fontId="10" fillId="10" borderId="0" xfId="0" applyNumberFormat="1" applyFont="1" applyFill="1" applyAlignment="1">
      <alignment horizontal="center"/>
    </xf>
    <xf numFmtId="9" fontId="9" fillId="10" borderId="0" xfId="0" applyNumberFormat="1" applyFont="1" applyFill="1" applyAlignment="1">
      <alignment horizontal="center"/>
    </xf>
    <xf numFmtId="2" fontId="0" fillId="10" borderId="0" xfId="0" applyNumberFormat="1" applyFill="1" applyAlignment="1">
      <alignment horizontal="right"/>
    </xf>
    <xf numFmtId="164" fontId="0" fillId="10" borderId="0" xfId="0" applyNumberFormat="1" applyFill="1" applyAlignment="1">
      <alignment horizontal="right"/>
    </xf>
    <xf numFmtId="0" fontId="9" fillId="10" borderId="30" xfId="0" applyFont="1" applyFill="1" applyBorder="1"/>
    <xf numFmtId="1" fontId="0" fillId="10" borderId="16" xfId="0" applyNumberFormat="1" applyFill="1" applyBorder="1"/>
    <xf numFmtId="0" fontId="9" fillId="10" borderId="51" xfId="0" applyFont="1" applyFill="1" applyBorder="1" applyAlignment="1">
      <alignment horizontal="right"/>
    </xf>
    <xf numFmtId="1" fontId="0" fillId="10" borderId="48" xfId="0" applyNumberFormat="1" applyFill="1" applyBorder="1"/>
    <xf numFmtId="0" fontId="9" fillId="10" borderId="1" xfId="0" applyFont="1" applyFill="1" applyBorder="1" applyAlignment="1">
      <alignment horizontal="right"/>
    </xf>
    <xf numFmtId="1" fontId="9" fillId="10" borderId="42" xfId="0" applyNumberFormat="1" applyFont="1" applyFill="1" applyBorder="1"/>
    <xf numFmtId="1" fontId="9" fillId="10" borderId="43" xfId="0" applyNumberFormat="1" applyFont="1" applyFill="1" applyBorder="1"/>
    <xf numFmtId="1" fontId="9" fillId="10" borderId="44" xfId="0" applyNumberFormat="1" applyFont="1" applyFill="1" applyBorder="1"/>
    <xf numFmtId="0" fontId="0" fillId="10" borderId="1" xfId="0" applyFill="1" applyBorder="1"/>
    <xf numFmtId="2" fontId="0" fillId="10" borderId="45" xfId="0" applyNumberFormat="1" applyFill="1" applyBorder="1"/>
    <xf numFmtId="1" fontId="0" fillId="10" borderId="43" xfId="0" applyNumberFormat="1" applyFill="1" applyBorder="1"/>
    <xf numFmtId="1" fontId="0" fillId="10" borderId="44" xfId="0" applyNumberFormat="1" applyFill="1" applyBorder="1"/>
    <xf numFmtId="1" fontId="9" fillId="9" borderId="42" xfId="0" applyNumberFormat="1" applyFont="1" applyFill="1" applyBorder="1"/>
    <xf numFmtId="1" fontId="9" fillId="9" borderId="43" xfId="0" applyNumberFormat="1" applyFont="1" applyFill="1" applyBorder="1"/>
    <xf numFmtId="1" fontId="9" fillId="9" borderId="44" xfId="0" applyNumberFormat="1" applyFont="1" applyFill="1" applyBorder="1"/>
    <xf numFmtId="1" fontId="0" fillId="9" borderId="40" xfId="0" applyNumberFormat="1" applyFill="1" applyBorder="1"/>
    <xf numFmtId="1" fontId="0" fillId="9" borderId="41" xfId="0" applyNumberFormat="1" applyFill="1" applyBorder="1"/>
    <xf numFmtId="1" fontId="0" fillId="9" borderId="20" xfId="0" applyNumberFormat="1" applyFill="1" applyBorder="1"/>
    <xf numFmtId="1" fontId="0" fillId="10" borderId="0" xfId="0" applyNumberFormat="1" applyFill="1" applyAlignment="1">
      <alignment horizontal="right"/>
    </xf>
    <xf numFmtId="0" fontId="0" fillId="0" borderId="0" xfId="0" applyAlignment="1">
      <alignment wrapText="1"/>
    </xf>
    <xf numFmtId="0" fontId="0" fillId="9" borderId="6" xfId="0" applyFill="1" applyBorder="1" applyAlignment="1">
      <alignment wrapText="1"/>
    </xf>
    <xf numFmtId="0" fontId="0" fillId="0" borderId="13" xfId="0" applyBorder="1" applyAlignment="1">
      <alignment horizontal="right"/>
    </xf>
    <xf numFmtId="0" fontId="9" fillId="9" borderId="29" xfId="0" applyFont="1" applyFill="1" applyBorder="1"/>
    <xf numFmtId="0" fontId="38" fillId="0" borderId="38" xfId="0" applyFont="1" applyBorder="1" applyAlignment="1">
      <alignment horizontal="right"/>
    </xf>
    <xf numFmtId="3" fontId="23" fillId="5" borderId="5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3" fontId="47" fillId="0" borderId="31" xfId="0" applyNumberFormat="1" applyFont="1" applyBorder="1"/>
    <xf numFmtId="0" fontId="2" fillId="0" borderId="6" xfId="0" applyFont="1" applyBorder="1"/>
    <xf numFmtId="168" fontId="0" fillId="0" borderId="0" xfId="0" applyNumberFormat="1"/>
    <xf numFmtId="3" fontId="0" fillId="0" borderId="0" xfId="0" applyNumberFormat="1"/>
    <xf numFmtId="0" fontId="45" fillId="0" borderId="0" xfId="0" applyFont="1" applyAlignment="1">
      <alignment horizontal="left"/>
    </xf>
    <xf numFmtId="0" fontId="0" fillId="10" borderId="22" xfId="0" applyFill="1" applyBorder="1"/>
    <xf numFmtId="0" fontId="0" fillId="10" borderId="24" xfId="0" applyFill="1" applyBorder="1"/>
    <xf numFmtId="0" fontId="0" fillId="10" borderId="40" xfId="0" applyFill="1" applyBorder="1"/>
    <xf numFmtId="0" fontId="0" fillId="10" borderId="41" xfId="0" applyFill="1" applyBorder="1"/>
    <xf numFmtId="0" fontId="0" fillId="10" borderId="21" xfId="0" applyFill="1" applyBorder="1"/>
    <xf numFmtId="3" fontId="0" fillId="2" borderId="6" xfId="0" applyNumberFormat="1" applyFill="1" applyBorder="1" applyProtection="1">
      <protection locked="0"/>
    </xf>
    <xf numFmtId="0" fontId="47" fillId="0" borderId="51" xfId="0" applyFont="1" applyBorder="1" applyAlignment="1">
      <alignment horizontal="center"/>
    </xf>
    <xf numFmtId="3" fontId="47" fillId="0" borderId="31" xfId="0" applyNumberFormat="1" applyFont="1" applyBorder="1" applyAlignment="1">
      <alignment horizontal="center"/>
    </xf>
    <xf numFmtId="3" fontId="0" fillId="10" borderId="21" xfId="0" applyNumberFormat="1" applyFill="1" applyBorder="1"/>
    <xf numFmtId="4" fontId="0" fillId="10" borderId="6" xfId="0" applyNumberFormat="1" applyFill="1" applyBorder="1" applyAlignment="1">
      <alignment horizontal="center"/>
    </xf>
    <xf numFmtId="3" fontId="0" fillId="2" borderId="11" xfId="0" applyNumberForma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47" fillId="0" borderId="4" xfId="0" applyFont="1" applyBorder="1" applyAlignment="1">
      <alignment horizontal="center"/>
    </xf>
    <xf numFmtId="165" fontId="47" fillId="0" borderId="31" xfId="0" applyNumberFormat="1" applyFont="1" applyBorder="1" applyAlignment="1">
      <alignment horizontal="center"/>
    </xf>
    <xf numFmtId="1" fontId="36" fillId="0" borderId="0" xfId="0" applyNumberFormat="1" applyFont="1" applyAlignment="1">
      <alignment horizontal="right"/>
    </xf>
    <xf numFmtId="0" fontId="9" fillId="9" borderId="47" xfId="0" applyFont="1" applyFill="1" applyBorder="1" applyAlignment="1">
      <alignment horizontal="right"/>
    </xf>
    <xf numFmtId="3" fontId="0" fillId="9" borderId="53" xfId="0" applyNumberFormat="1" applyFill="1" applyBorder="1" applyAlignment="1">
      <alignment horizontal="center"/>
    </xf>
    <xf numFmtId="3" fontId="0" fillId="9" borderId="54" xfId="0" applyNumberFormat="1" applyFill="1" applyBorder="1" applyAlignment="1">
      <alignment horizontal="center"/>
    </xf>
    <xf numFmtId="3" fontId="0" fillId="9" borderId="55" xfId="0" applyNumberFormat="1" applyFill="1" applyBorder="1" applyAlignment="1">
      <alignment horizontal="center"/>
    </xf>
    <xf numFmtId="3" fontId="0" fillId="9" borderId="56" xfId="0" applyNumberFormat="1" applyFill="1" applyBorder="1" applyAlignment="1">
      <alignment horizontal="center"/>
    </xf>
    <xf numFmtId="3" fontId="0" fillId="9" borderId="57" xfId="0" applyNumberFormat="1" applyFill="1" applyBorder="1" applyAlignment="1">
      <alignment horizontal="center"/>
    </xf>
    <xf numFmtId="3" fontId="0" fillId="9" borderId="58" xfId="0" applyNumberFormat="1" applyFill="1" applyBorder="1" applyAlignment="1">
      <alignment horizontal="center"/>
    </xf>
    <xf numFmtId="3" fontId="0" fillId="9" borderId="6" xfId="0" applyNumberFormat="1" applyFill="1" applyBorder="1"/>
    <xf numFmtId="3" fontId="0" fillId="9" borderId="21" xfId="0" applyNumberFormat="1" applyFill="1" applyBorder="1"/>
    <xf numFmtId="3" fontId="0" fillId="9" borderId="23" xfId="0" applyNumberFormat="1" applyFill="1" applyBorder="1"/>
    <xf numFmtId="3" fontId="0" fillId="9" borderId="24" xfId="0" applyNumberFormat="1" applyFill="1" applyBorder="1"/>
    <xf numFmtId="0" fontId="0" fillId="0" borderId="1" xfId="0" applyBorder="1"/>
    <xf numFmtId="3" fontId="0" fillId="2" borderId="12" xfId="0" applyNumberFormat="1" applyFill="1" applyBorder="1" applyProtection="1">
      <protection locked="0"/>
    </xf>
    <xf numFmtId="9" fontId="0" fillId="10" borderId="0" xfId="0" applyNumberFormat="1" applyFill="1" applyAlignment="1">
      <alignment horizontal="right"/>
    </xf>
    <xf numFmtId="9" fontId="0" fillId="2" borderId="12" xfId="0" applyNumberFormat="1" applyFill="1" applyBorder="1" applyProtection="1">
      <protection locked="0"/>
    </xf>
    <xf numFmtId="0" fontId="12" fillId="0" borderId="0" xfId="0" applyFont="1" applyAlignment="1">
      <alignment vertical="top" wrapText="1"/>
    </xf>
    <xf numFmtId="4" fontId="0" fillId="2" borderId="11" xfId="0" applyNumberFormat="1" applyFill="1" applyBorder="1" applyProtection="1">
      <protection locked="0"/>
    </xf>
    <xf numFmtId="0" fontId="12" fillId="11" borderId="0" xfId="0" applyFont="1" applyFill="1" applyAlignment="1">
      <alignment horizontal="right"/>
    </xf>
    <xf numFmtId="9" fontId="0" fillId="2" borderId="11" xfId="0" applyNumberFormat="1" applyFill="1" applyBorder="1" applyProtection="1">
      <protection locked="0"/>
    </xf>
    <xf numFmtId="3" fontId="12" fillId="2" borderId="0" xfId="0" applyNumberFormat="1" applyFont="1" applyFill="1" applyProtection="1">
      <protection locked="0"/>
    </xf>
    <xf numFmtId="169" fontId="0" fillId="0" borderId="0" xfId="0" applyNumberFormat="1"/>
    <xf numFmtId="3" fontId="9" fillId="10" borderId="43" xfId="0" applyNumberFormat="1" applyFont="1" applyFill="1" applyBorder="1"/>
    <xf numFmtId="3" fontId="0" fillId="10" borderId="34" xfId="0" applyNumberFormat="1" applyFill="1" applyBorder="1"/>
    <xf numFmtId="3" fontId="0" fillId="10" borderId="24" xfId="0" applyNumberFormat="1" applyFill="1" applyBorder="1"/>
    <xf numFmtId="3" fontId="9" fillId="10" borderId="13" xfId="0" applyNumberFormat="1" applyFont="1" applyFill="1" applyBorder="1" applyAlignment="1">
      <alignment horizontal="center"/>
    </xf>
    <xf numFmtId="0" fontId="16" fillId="0" borderId="0" xfId="0" applyFont="1" applyAlignment="1" applyProtection="1">
      <alignment horizontal="right"/>
      <protection locked="0"/>
    </xf>
    <xf numFmtId="0" fontId="12" fillId="3" borderId="0" xfId="0" applyFont="1" applyFill="1" applyAlignment="1" applyProtection="1">
      <alignment horizontal="right"/>
      <protection locked="0"/>
    </xf>
    <xf numFmtId="0" fontId="13" fillId="3" borderId="0" xfId="0" applyFont="1" applyFill="1" applyAlignment="1" applyProtection="1">
      <alignment horizontal="right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2" borderId="0" xfId="0" applyFill="1"/>
    <xf numFmtId="0" fontId="31" fillId="0" borderId="0" xfId="0" applyFont="1" applyAlignment="1">
      <alignment horizontal="right"/>
    </xf>
    <xf numFmtId="0" fontId="0" fillId="6" borderId="11" xfId="0" applyFill="1" applyBorder="1"/>
    <xf numFmtId="0" fontId="19" fillId="0" borderId="0" xfId="0" applyFont="1"/>
    <xf numFmtId="0" fontId="0" fillId="11" borderId="0" xfId="0" applyFill="1"/>
    <xf numFmtId="0" fontId="12" fillId="11" borderId="0" xfId="0" applyFont="1" applyFill="1"/>
    <xf numFmtId="0" fontId="15" fillId="0" borderId="0" xfId="0" applyFont="1"/>
    <xf numFmtId="0" fontId="12" fillId="0" borderId="0" xfId="0" applyFont="1"/>
    <xf numFmtId="0" fontId="9" fillId="2" borderId="0" xfId="0" applyFont="1" applyFill="1"/>
    <xf numFmtId="0" fontId="0" fillId="2" borderId="0" xfId="0" applyFill="1" applyAlignment="1">
      <alignment horizontal="right"/>
    </xf>
    <xf numFmtId="0" fontId="31" fillId="0" borderId="0" xfId="0" applyFont="1"/>
    <xf numFmtId="0" fontId="16" fillId="0" borderId="0" xfId="0" applyFont="1"/>
    <xf numFmtId="0" fontId="12" fillId="11" borderId="11" xfId="0" applyFont="1" applyFill="1" applyBorder="1"/>
    <xf numFmtId="0" fontId="12" fillId="11" borderId="12" xfId="0" applyFont="1" applyFill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center" wrapText="1"/>
    </xf>
    <xf numFmtId="0" fontId="53" fillId="11" borderId="0" xfId="0" applyFont="1" applyFill="1" applyAlignment="1">
      <alignment horizontal="right"/>
    </xf>
    <xf numFmtId="0" fontId="10" fillId="11" borderId="0" xfId="0" applyFont="1" applyFill="1"/>
    <xf numFmtId="0" fontId="8" fillId="0" borderId="0" xfId="0" applyFont="1"/>
    <xf numFmtId="0" fontId="0" fillId="0" borderId="0" xfId="0" applyAlignment="1">
      <alignment horizontal="left"/>
    </xf>
    <xf numFmtId="0" fontId="9" fillId="11" borderId="0" xfId="0" applyFont="1" applyFill="1" applyAlignment="1">
      <alignment horizontal="center"/>
    </xf>
    <xf numFmtId="0" fontId="43" fillId="0" borderId="0" xfId="0" applyFont="1" applyAlignment="1">
      <alignment vertical="center"/>
    </xf>
    <xf numFmtId="0" fontId="43" fillId="0" borderId="0" xfId="0" applyFont="1"/>
    <xf numFmtId="0" fontId="0" fillId="9" borderId="63" xfId="0" applyFill="1" applyBorder="1"/>
    <xf numFmtId="0" fontId="0" fillId="9" borderId="66" xfId="0" applyFill="1" applyBorder="1"/>
    <xf numFmtId="0" fontId="0" fillId="9" borderId="69" xfId="0" applyFill="1" applyBorder="1"/>
    <xf numFmtId="0" fontId="0" fillId="9" borderId="72" xfId="0" applyFill="1" applyBorder="1"/>
    <xf numFmtId="0" fontId="0" fillId="9" borderId="75" xfId="0" applyFill="1" applyBorder="1"/>
    <xf numFmtId="0" fontId="32" fillId="9" borderId="60" xfId="0" applyFont="1" applyFill="1" applyBorder="1"/>
    <xf numFmtId="0" fontId="55" fillId="9" borderId="61" xfId="0" applyFont="1" applyFill="1" applyBorder="1" applyAlignment="1">
      <alignment horizontal="center"/>
    </xf>
    <xf numFmtId="0" fontId="9" fillId="9" borderId="64" xfId="0" applyFont="1" applyFill="1" applyBorder="1" applyAlignment="1">
      <alignment horizontal="center"/>
    </xf>
    <xf numFmtId="0" fontId="9" fillId="9" borderId="67" xfId="0" applyFont="1" applyFill="1" applyBorder="1" applyAlignment="1">
      <alignment horizontal="center"/>
    </xf>
    <xf numFmtId="0" fontId="9" fillId="9" borderId="73" xfId="0" applyFont="1" applyFill="1" applyBorder="1" applyAlignment="1">
      <alignment horizontal="center"/>
    </xf>
    <xf numFmtId="0" fontId="9" fillId="9" borderId="70" xfId="0" applyFont="1" applyFill="1" applyBorder="1" applyAlignment="1">
      <alignment horizontal="center"/>
    </xf>
    <xf numFmtId="0" fontId="9" fillId="9" borderId="76" xfId="0" applyFont="1" applyFill="1" applyBorder="1" applyAlignment="1">
      <alignment horizontal="center"/>
    </xf>
    <xf numFmtId="0" fontId="32" fillId="9" borderId="34" xfId="0" applyFont="1" applyFill="1" applyBorder="1" applyAlignment="1">
      <alignment horizontal="center"/>
    </xf>
    <xf numFmtId="0" fontId="32" fillId="9" borderId="24" xfId="0" applyFont="1" applyFill="1" applyBorder="1" applyAlignment="1">
      <alignment horizontal="center"/>
    </xf>
    <xf numFmtId="0" fontId="42" fillId="9" borderId="6" xfId="0" applyFont="1" applyFill="1" applyBorder="1" applyAlignment="1">
      <alignment horizontal="center" vertical="center" wrapText="1"/>
    </xf>
    <xf numFmtId="0" fontId="42" fillId="9" borderId="21" xfId="0" applyFont="1" applyFill="1" applyBorder="1" applyAlignment="1">
      <alignment horizontal="right" vertical="center" wrapText="1"/>
    </xf>
    <xf numFmtId="0" fontId="42" fillId="9" borderId="23" xfId="0" applyFont="1" applyFill="1" applyBorder="1" applyAlignment="1">
      <alignment horizontal="center" vertical="center" wrapText="1"/>
    </xf>
    <xf numFmtId="0" fontId="42" fillId="9" borderId="24" xfId="0" applyFont="1" applyFill="1" applyBorder="1" applyAlignment="1">
      <alignment horizontal="right" vertical="center" wrapText="1"/>
    </xf>
    <xf numFmtId="0" fontId="42" fillId="9" borderId="20" xfId="0" applyFont="1" applyFill="1" applyBorder="1" applyAlignment="1">
      <alignment horizontal="center" vertical="center" wrapText="1"/>
    </xf>
    <xf numFmtId="0" fontId="42" fillId="9" borderId="2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left"/>
    </xf>
    <xf numFmtId="0" fontId="55" fillId="9" borderId="34" xfId="0" applyFont="1" applyFill="1" applyBorder="1" applyAlignment="1">
      <alignment horizontal="center"/>
    </xf>
    <xf numFmtId="0" fontId="32" fillId="9" borderId="21" xfId="0" applyFont="1" applyFill="1" applyBorder="1" applyAlignment="1">
      <alignment horizontal="center"/>
    </xf>
    <xf numFmtId="1" fontId="9" fillId="9" borderId="44" xfId="0" applyNumberFormat="1" applyFont="1" applyFill="1" applyBorder="1" applyAlignment="1">
      <alignment horizontal="center"/>
    </xf>
    <xf numFmtId="1" fontId="0" fillId="9" borderId="41" xfId="0" applyNumberFormat="1" applyFill="1" applyBorder="1" applyAlignment="1">
      <alignment horizontal="center"/>
    </xf>
    <xf numFmtId="1" fontId="0" fillId="9" borderId="21" xfId="0" applyNumberFormat="1" applyFill="1" applyBorder="1" applyAlignment="1">
      <alignment horizontal="center"/>
    </xf>
    <xf numFmtId="0" fontId="0" fillId="9" borderId="49" xfId="0" applyFill="1" applyBorder="1" applyAlignment="1">
      <alignment horizontal="center"/>
    </xf>
    <xf numFmtId="1" fontId="0" fillId="9" borderId="50" xfId="0" applyNumberFormat="1" applyFill="1" applyBorder="1"/>
    <xf numFmtId="1" fontId="0" fillId="9" borderId="49" xfId="0" applyNumberFormat="1" applyFill="1" applyBorder="1"/>
    <xf numFmtId="1" fontId="0" fillId="9" borderId="42" xfId="0" applyNumberFormat="1" applyFill="1" applyBorder="1"/>
    <xf numFmtId="1" fontId="0" fillId="9" borderId="43" xfId="0" applyNumberFormat="1" applyFill="1" applyBorder="1"/>
    <xf numFmtId="1" fontId="0" fillId="9" borderId="44" xfId="0" applyNumberFormat="1" applyFill="1" applyBorder="1"/>
    <xf numFmtId="0" fontId="0" fillId="9" borderId="0" xfId="0" applyFill="1"/>
    <xf numFmtId="0" fontId="0" fillId="10" borderId="0" xfId="0" applyFill="1"/>
    <xf numFmtId="2" fontId="32" fillId="9" borderId="24" xfId="0" applyNumberFormat="1" applyFont="1" applyFill="1" applyBorder="1" applyAlignment="1">
      <alignment horizontal="center"/>
    </xf>
    <xf numFmtId="0" fontId="0" fillId="11" borderId="35" xfId="0" applyFill="1" applyBorder="1"/>
    <xf numFmtId="0" fontId="0" fillId="11" borderId="37" xfId="0" applyFill="1" applyBorder="1"/>
    <xf numFmtId="0" fontId="0" fillId="11" borderId="36" xfId="0" applyFill="1" applyBorder="1"/>
    <xf numFmtId="0" fontId="12" fillId="11" borderId="18" xfId="0" applyFont="1" applyFill="1" applyBorder="1" applyAlignment="1">
      <alignment horizontal="right"/>
    </xf>
    <xf numFmtId="0" fontId="0" fillId="11" borderId="19" xfId="0" applyFill="1" applyBorder="1"/>
    <xf numFmtId="0" fontId="52" fillId="11" borderId="18" xfId="0" applyFont="1" applyFill="1" applyBorder="1" applyAlignment="1">
      <alignment horizontal="right"/>
    </xf>
    <xf numFmtId="0" fontId="14" fillId="11" borderId="18" xfId="0" applyFont="1" applyFill="1" applyBorder="1" applyAlignment="1">
      <alignment horizontal="right"/>
    </xf>
    <xf numFmtId="0" fontId="12" fillId="11" borderId="38" xfId="0" applyFont="1" applyFill="1" applyBorder="1" applyAlignment="1">
      <alignment horizontal="right"/>
    </xf>
    <xf numFmtId="0" fontId="0" fillId="11" borderId="52" xfId="0" applyFill="1" applyBorder="1"/>
    <xf numFmtId="0" fontId="0" fillId="11" borderId="39" xfId="0" applyFill="1" applyBorder="1"/>
    <xf numFmtId="0" fontId="9" fillId="11" borderId="37" xfId="0" applyFont="1" applyFill="1" applyBorder="1"/>
    <xf numFmtId="0" fontId="12" fillId="2" borderId="29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2" fillId="11" borderId="52" xfId="0" applyFont="1" applyFill="1" applyBorder="1" applyProtection="1">
      <protection locked="0"/>
    </xf>
    <xf numFmtId="0" fontId="52" fillId="11" borderId="52" xfId="0" applyFont="1" applyFill="1" applyBorder="1"/>
    <xf numFmtId="0" fontId="0" fillId="12" borderId="0" xfId="0" applyFill="1"/>
    <xf numFmtId="0" fontId="0" fillId="12" borderId="11" xfId="0" applyFill="1" applyBorder="1" applyProtection="1">
      <protection locked="0"/>
    </xf>
    <xf numFmtId="0" fontId="12" fillId="12" borderId="11" xfId="0" applyFont="1" applyFill="1" applyBorder="1" applyProtection="1">
      <protection locked="0"/>
    </xf>
    <xf numFmtId="0" fontId="12" fillId="12" borderId="12" xfId="0" applyFont="1" applyFill="1" applyBorder="1" applyProtection="1">
      <protection locked="0"/>
    </xf>
    <xf numFmtId="0" fontId="0" fillId="12" borderId="6" xfId="0" applyFill="1" applyBorder="1" applyAlignment="1" applyProtection="1">
      <alignment horizontal="left"/>
      <protection locked="0"/>
    </xf>
    <xf numFmtId="0" fontId="0" fillId="12" borderId="6" xfId="0" applyFill="1" applyBorder="1" applyProtection="1">
      <protection locked="0"/>
    </xf>
    <xf numFmtId="3" fontId="0" fillId="12" borderId="11" xfId="0" applyNumberFormat="1" applyFill="1" applyBorder="1" applyProtection="1">
      <protection locked="0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9" fillId="9" borderId="59" xfId="0" applyFont="1" applyFill="1" applyBorder="1" applyAlignment="1">
      <alignment horizontal="left"/>
    </xf>
    <xf numFmtId="0" fontId="9" fillId="9" borderId="60" xfId="0" applyFont="1" applyFill="1" applyBorder="1" applyAlignment="1">
      <alignment horizontal="left"/>
    </xf>
    <xf numFmtId="0" fontId="0" fillId="9" borderId="32" xfId="0" applyFill="1" applyBorder="1" applyAlignment="1">
      <alignment horizontal="left"/>
    </xf>
    <xf numFmtId="0" fontId="0" fillId="9" borderId="33" xfId="0" applyFill="1" applyBorder="1" applyAlignment="1">
      <alignment horizontal="left"/>
    </xf>
    <xf numFmtId="0" fontId="0" fillId="9" borderId="71" xfId="0" applyFill="1" applyBorder="1" applyAlignment="1">
      <alignment horizontal="left"/>
    </xf>
    <xf numFmtId="0" fontId="0" fillId="9" borderId="72" xfId="0" applyFill="1" applyBorder="1" applyAlignment="1">
      <alignment horizontal="left"/>
    </xf>
    <xf numFmtId="0" fontId="0" fillId="9" borderId="68" xfId="0" applyFill="1" applyBorder="1" applyAlignment="1">
      <alignment horizontal="left"/>
    </xf>
    <xf numFmtId="0" fontId="0" fillId="9" borderId="69" xfId="0" applyFill="1" applyBorder="1" applyAlignment="1">
      <alignment horizontal="left"/>
    </xf>
    <xf numFmtId="0" fontId="0" fillId="9" borderId="20" xfId="0" applyFill="1" applyBorder="1" applyAlignment="1">
      <alignment horizontal="left"/>
    </xf>
    <xf numFmtId="0" fontId="0" fillId="9" borderId="6" xfId="0" applyFill="1" applyBorder="1" applyAlignment="1">
      <alignment horizontal="left"/>
    </xf>
    <xf numFmtId="0" fontId="32" fillId="9" borderId="59" xfId="0" applyFont="1" applyFill="1" applyBorder="1" applyAlignment="1">
      <alignment horizontal="left"/>
    </xf>
    <xf numFmtId="0" fontId="32" fillId="9" borderId="60" xfId="0" applyFont="1" applyFill="1" applyBorder="1" applyAlignment="1">
      <alignment horizontal="left"/>
    </xf>
    <xf numFmtId="0" fontId="0" fillId="9" borderId="62" xfId="0" applyFill="1" applyBorder="1" applyAlignment="1">
      <alignment horizontal="left"/>
    </xf>
    <xf numFmtId="0" fontId="0" fillId="9" borderId="63" xfId="0" applyFill="1" applyBorder="1" applyAlignment="1">
      <alignment horizontal="left"/>
    </xf>
    <xf numFmtId="0" fontId="0" fillId="9" borderId="65" xfId="0" applyFill="1" applyBorder="1" applyAlignment="1">
      <alignment horizontal="left"/>
    </xf>
    <xf numFmtId="0" fontId="0" fillId="9" borderId="66" xfId="0" applyFill="1" applyBorder="1" applyAlignment="1">
      <alignment horizontal="left"/>
    </xf>
    <xf numFmtId="0" fontId="9" fillId="10" borderId="5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/>
    </xf>
    <xf numFmtId="0" fontId="9" fillId="10" borderId="9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42" fillId="9" borderId="34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42" fillId="9" borderId="32" xfId="0" applyFont="1" applyFill="1" applyBorder="1" applyAlignment="1">
      <alignment horizontal="center" vertical="center" wrapText="1"/>
    </xf>
    <xf numFmtId="0" fontId="42" fillId="9" borderId="20" xfId="0" applyFont="1" applyFill="1" applyBorder="1" applyAlignment="1">
      <alignment horizontal="center" vertical="center" wrapText="1"/>
    </xf>
    <xf numFmtId="0" fontId="42" fillId="9" borderId="33" xfId="0" applyFont="1" applyFill="1" applyBorder="1" applyAlignment="1">
      <alignment horizontal="center" vertical="center" wrapText="1"/>
    </xf>
    <xf numFmtId="0" fontId="42" fillId="9" borderId="6" xfId="0" applyFont="1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wrapText="1"/>
    </xf>
    <xf numFmtId="0" fontId="0" fillId="9" borderId="30" xfId="0" applyFill="1" applyBorder="1" applyAlignment="1">
      <alignment horizontal="center" wrapText="1"/>
    </xf>
    <xf numFmtId="0" fontId="0" fillId="9" borderId="32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9" fillId="9" borderId="35" xfId="0" applyFont="1" applyFill="1" applyBorder="1" applyAlignment="1">
      <alignment horizontal="center" wrapText="1"/>
    </xf>
    <xf numFmtId="0" fontId="9" fillId="9" borderId="36" xfId="0" applyFont="1" applyFill="1" applyBorder="1" applyAlignment="1">
      <alignment horizontal="center" wrapText="1"/>
    </xf>
    <xf numFmtId="0" fontId="9" fillId="9" borderId="38" xfId="0" applyFont="1" applyFill="1" applyBorder="1" applyAlignment="1">
      <alignment horizontal="center" wrapText="1"/>
    </xf>
    <xf numFmtId="0" fontId="9" fillId="9" borderId="39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9" borderId="25" xfId="0" applyFont="1" applyFill="1" applyBorder="1" applyAlignment="1">
      <alignment horizontal="center"/>
    </xf>
    <xf numFmtId="0" fontId="9" fillId="9" borderId="26" xfId="0" applyFont="1" applyFill="1" applyBorder="1" applyAlignment="1">
      <alignment horizontal="center"/>
    </xf>
    <xf numFmtId="0" fontId="9" fillId="9" borderId="27" xfId="0" applyFont="1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74" xfId="0" applyFill="1" applyBorder="1" applyAlignment="1">
      <alignment horizontal="left"/>
    </xf>
    <xf numFmtId="0" fontId="0" fillId="9" borderId="75" xfId="0" applyFill="1" applyBorder="1" applyAlignment="1">
      <alignment horizontal="left"/>
    </xf>
    <xf numFmtId="0" fontId="0" fillId="9" borderId="22" xfId="0" applyFill="1" applyBorder="1" applyAlignment="1">
      <alignment horizontal="left"/>
    </xf>
    <xf numFmtId="0" fontId="0" fillId="9" borderId="23" xfId="0" applyFill="1" applyBorder="1" applyAlignment="1">
      <alignment horizontal="left"/>
    </xf>
    <xf numFmtId="0" fontId="9" fillId="9" borderId="32" xfId="0" applyFont="1" applyFill="1" applyBorder="1" applyAlignment="1">
      <alignment horizontal="left"/>
    </xf>
    <xf numFmtId="0" fontId="9" fillId="9" borderId="33" xfId="0" applyFont="1" applyFill="1" applyBorder="1" applyAlignment="1">
      <alignment horizontal="left"/>
    </xf>
    <xf numFmtId="0" fontId="4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1FF"/>
      <color rgb="FFEBFFEB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K$14" lockText="1" noThreeD="1"/>
</file>

<file path=xl/ctrlProps/ctrlProp10.xml><?xml version="1.0" encoding="utf-8"?>
<formControlPr xmlns="http://schemas.microsoft.com/office/spreadsheetml/2009/9/main" objectType="CheckBox" fmlaLink="$K$23" lockText="1" noThreeD="1"/>
</file>

<file path=xl/ctrlProps/ctrlProp11.xml><?xml version="1.0" encoding="utf-8"?>
<formControlPr xmlns="http://schemas.microsoft.com/office/spreadsheetml/2009/9/main" objectType="CheckBox" fmlaLink="$K$25" lockText="1" noThreeD="1"/>
</file>

<file path=xl/ctrlProps/ctrlProp12.xml><?xml version="1.0" encoding="utf-8"?>
<formControlPr xmlns="http://schemas.microsoft.com/office/spreadsheetml/2009/9/main" objectType="CheckBox" fmlaLink="$K$26" lockText="1" noThreeD="1"/>
</file>

<file path=xl/ctrlProps/ctrlProp13.xml><?xml version="1.0" encoding="utf-8"?>
<formControlPr xmlns="http://schemas.microsoft.com/office/spreadsheetml/2009/9/main" objectType="CheckBox" fmlaLink="$K$27" lockText="1" noThreeD="1"/>
</file>

<file path=xl/ctrlProps/ctrlProp14.xml><?xml version="1.0" encoding="utf-8"?>
<formControlPr xmlns="http://schemas.microsoft.com/office/spreadsheetml/2009/9/main" objectType="CheckBox" fmlaLink="$K$30" lockText="1" noThreeD="1"/>
</file>

<file path=xl/ctrlProps/ctrlProp15.xml><?xml version="1.0" encoding="utf-8"?>
<formControlPr xmlns="http://schemas.microsoft.com/office/spreadsheetml/2009/9/main" objectType="CheckBox" fmlaLink="$K$31" lockText="1" noThreeD="1"/>
</file>

<file path=xl/ctrlProps/ctrlProp16.xml><?xml version="1.0" encoding="utf-8"?>
<formControlPr xmlns="http://schemas.microsoft.com/office/spreadsheetml/2009/9/main" objectType="CheckBox" fmlaLink="$K$32" lockText="1" noThreeD="1"/>
</file>

<file path=xl/ctrlProps/ctrlProp17.xml><?xml version="1.0" encoding="utf-8"?>
<formControlPr xmlns="http://schemas.microsoft.com/office/spreadsheetml/2009/9/main" objectType="CheckBox" fmlaLink="$K$33" lockText="1" noThreeD="1"/>
</file>

<file path=xl/ctrlProps/ctrlProp18.xml><?xml version="1.0" encoding="utf-8"?>
<formControlPr xmlns="http://schemas.microsoft.com/office/spreadsheetml/2009/9/main" objectType="CheckBox" fmlaLink="$K$34" lockText="1" noThreeD="1"/>
</file>

<file path=xl/ctrlProps/ctrlProp19.xml><?xml version="1.0" encoding="utf-8"?>
<formControlPr xmlns="http://schemas.microsoft.com/office/spreadsheetml/2009/9/main" objectType="CheckBox" fmlaLink="$K$35" lockText="1" noThreeD="1"/>
</file>

<file path=xl/ctrlProps/ctrlProp2.xml><?xml version="1.0" encoding="utf-8"?>
<formControlPr xmlns="http://schemas.microsoft.com/office/spreadsheetml/2009/9/main" objectType="CheckBox" fmlaLink="$K$15" lockText="1" noThreeD="1"/>
</file>

<file path=xl/ctrlProps/ctrlProp20.xml><?xml version="1.0" encoding="utf-8"?>
<formControlPr xmlns="http://schemas.microsoft.com/office/spreadsheetml/2009/9/main" objectType="CheckBox" fmlaLink="$K$36" lockText="1" noThreeD="1"/>
</file>

<file path=xl/ctrlProps/ctrlProp21.xml><?xml version="1.0" encoding="utf-8"?>
<formControlPr xmlns="http://schemas.microsoft.com/office/spreadsheetml/2009/9/main" objectType="CheckBox" fmlaLink="$K$37" lockText="1" noThreeD="1"/>
</file>

<file path=xl/ctrlProps/ctrlProp22.xml><?xml version="1.0" encoding="utf-8"?>
<formControlPr xmlns="http://schemas.microsoft.com/office/spreadsheetml/2009/9/main" objectType="CheckBox" fmlaLink="$K$44" lockText="1" noThreeD="1"/>
</file>

<file path=xl/ctrlProps/ctrlProp23.xml><?xml version="1.0" encoding="utf-8"?>
<formControlPr xmlns="http://schemas.microsoft.com/office/spreadsheetml/2009/9/main" objectType="CheckBox" fmlaLink="$K$45" lockText="1" noThreeD="1"/>
</file>

<file path=xl/ctrlProps/ctrlProp24.xml><?xml version="1.0" encoding="utf-8"?>
<formControlPr xmlns="http://schemas.microsoft.com/office/spreadsheetml/2009/9/main" objectType="CheckBox" fmlaLink="$K$46" lockText="1" noThreeD="1"/>
</file>

<file path=xl/ctrlProps/ctrlProp25.xml><?xml version="1.0" encoding="utf-8"?>
<formControlPr xmlns="http://schemas.microsoft.com/office/spreadsheetml/2009/9/main" objectType="CheckBox" fmlaLink="$K$47" lockText="1" noThreeD="1"/>
</file>

<file path=xl/ctrlProps/ctrlProp26.xml><?xml version="1.0" encoding="utf-8"?>
<formControlPr xmlns="http://schemas.microsoft.com/office/spreadsheetml/2009/9/main" objectType="CheckBox" fmlaLink="$K$48" lockText="1" noThreeD="1"/>
</file>

<file path=xl/ctrlProps/ctrlProp27.xml><?xml version="1.0" encoding="utf-8"?>
<formControlPr xmlns="http://schemas.microsoft.com/office/spreadsheetml/2009/9/main" objectType="CheckBox" fmlaLink="$K$49" lockText="1" noThreeD="1"/>
</file>

<file path=xl/ctrlProps/ctrlProp28.xml><?xml version="1.0" encoding="utf-8"?>
<formControlPr xmlns="http://schemas.microsoft.com/office/spreadsheetml/2009/9/main" objectType="CheckBox" fmlaLink="$K$27" lockText="1" noThreeD="1"/>
</file>

<file path=xl/ctrlProps/ctrlProp29.xml><?xml version="1.0" encoding="utf-8"?>
<formControlPr xmlns="http://schemas.microsoft.com/office/spreadsheetml/2009/9/main" objectType="CheckBox" fmlaLink="$K$51" lockText="1" noThreeD="1"/>
</file>

<file path=xl/ctrlProps/ctrlProp3.xml><?xml version="1.0" encoding="utf-8"?>
<formControlPr xmlns="http://schemas.microsoft.com/office/spreadsheetml/2009/9/main" objectType="CheckBox" fmlaLink="$K$16" lockText="1" noThreeD="1"/>
</file>

<file path=xl/ctrlProps/ctrlProp30.xml><?xml version="1.0" encoding="utf-8"?>
<formControlPr xmlns="http://schemas.microsoft.com/office/spreadsheetml/2009/9/main" objectType="CheckBox" fmlaLink="$K$62" lockText="1" noThreeD="1"/>
</file>

<file path=xl/ctrlProps/ctrlProp31.xml><?xml version="1.0" encoding="utf-8"?>
<formControlPr xmlns="http://schemas.microsoft.com/office/spreadsheetml/2009/9/main" objectType="CheckBox" fmlaLink="$K$63" lockText="1" noThreeD="1"/>
</file>

<file path=xl/ctrlProps/ctrlProp32.xml><?xml version="1.0" encoding="utf-8"?>
<formControlPr xmlns="http://schemas.microsoft.com/office/spreadsheetml/2009/9/main" objectType="CheckBox" fmlaLink="$K$72" lockText="1" noThreeD="1"/>
</file>

<file path=xl/ctrlProps/ctrlProp33.xml><?xml version="1.0" encoding="utf-8"?>
<formControlPr xmlns="http://schemas.microsoft.com/office/spreadsheetml/2009/9/main" objectType="CheckBox" fmlaLink="$K$65" lockText="1" noThreeD="1"/>
</file>

<file path=xl/ctrlProps/ctrlProp34.xml><?xml version="1.0" encoding="utf-8"?>
<formControlPr xmlns="http://schemas.microsoft.com/office/spreadsheetml/2009/9/main" objectType="CheckBox" fmlaLink="$K$66" lockText="1" noThreeD="1"/>
</file>

<file path=xl/ctrlProps/ctrlProp35.xml><?xml version="1.0" encoding="utf-8"?>
<formControlPr xmlns="http://schemas.microsoft.com/office/spreadsheetml/2009/9/main" objectType="CheckBox" fmlaLink="$K$67" lockText="1" noThreeD="1"/>
</file>

<file path=xl/ctrlProps/ctrlProp36.xml><?xml version="1.0" encoding="utf-8"?>
<formControlPr xmlns="http://schemas.microsoft.com/office/spreadsheetml/2009/9/main" objectType="CheckBox" fmlaLink="$K$68" lockText="1" noThreeD="1"/>
</file>

<file path=xl/ctrlProps/ctrlProp37.xml><?xml version="1.0" encoding="utf-8"?>
<formControlPr xmlns="http://schemas.microsoft.com/office/spreadsheetml/2009/9/main" objectType="CheckBox" fmlaLink="$K$9" noThreeD="1"/>
</file>

<file path=xl/ctrlProps/ctrlProp38.xml><?xml version="1.0" encoding="utf-8"?>
<formControlPr xmlns="http://schemas.microsoft.com/office/spreadsheetml/2009/9/main" objectType="CheckBox" fmlaLink="$K$10" noThreeD="1"/>
</file>

<file path=xl/ctrlProps/ctrlProp39.xml><?xml version="1.0" encoding="utf-8"?>
<formControlPr xmlns="http://schemas.microsoft.com/office/spreadsheetml/2009/9/main" objectType="CheckBox" fmlaLink="$K$11" lockText="1" noThreeD="1"/>
</file>

<file path=xl/ctrlProps/ctrlProp4.xml><?xml version="1.0" encoding="utf-8"?>
<formControlPr xmlns="http://schemas.microsoft.com/office/spreadsheetml/2009/9/main" objectType="CheckBox" fmlaLink="$K$17" lockText="1" noThreeD="1"/>
</file>

<file path=xl/ctrlProps/ctrlProp40.xml><?xml version="1.0" encoding="utf-8"?>
<formControlPr xmlns="http://schemas.microsoft.com/office/spreadsheetml/2009/9/main" objectType="CheckBox" fmlaLink="$K$12" noThreeD="1"/>
</file>

<file path=xl/ctrlProps/ctrlProp41.xml><?xml version="1.0" encoding="utf-8"?>
<formControlPr xmlns="http://schemas.microsoft.com/office/spreadsheetml/2009/9/main" objectType="CheckBox" fmlaLink="$K$71" lockText="1" noThreeD="1"/>
</file>

<file path=xl/ctrlProps/ctrlProp42.xml><?xml version="1.0" encoding="utf-8"?>
<formControlPr xmlns="http://schemas.microsoft.com/office/spreadsheetml/2009/9/main" objectType="CheckBox" fmlaLink="$K$50" lockText="1" noThreeD="1"/>
</file>

<file path=xl/ctrlProps/ctrlProp43.xml><?xml version="1.0" encoding="utf-8"?>
<formControlPr xmlns="http://schemas.microsoft.com/office/spreadsheetml/2009/9/main" objectType="CheckBox" fmlaLink="$K$163" lockText="1" noThreeD="1"/>
</file>

<file path=xl/ctrlProps/ctrlProp44.xml><?xml version="1.0" encoding="utf-8"?>
<formControlPr xmlns="http://schemas.microsoft.com/office/spreadsheetml/2009/9/main" objectType="CheckBox" fmlaLink="$K$164" lockText="1" noThreeD="1"/>
</file>

<file path=xl/ctrlProps/ctrlProp45.xml><?xml version="1.0" encoding="utf-8"?>
<formControlPr xmlns="http://schemas.microsoft.com/office/spreadsheetml/2009/9/main" objectType="CheckBox" fmlaLink="$K$165" lockText="1" noThreeD="1"/>
</file>

<file path=xl/ctrlProps/ctrlProp46.xml><?xml version="1.0" encoding="utf-8"?>
<formControlPr xmlns="http://schemas.microsoft.com/office/spreadsheetml/2009/9/main" objectType="CheckBox" fmlaLink="$K$166" lockText="1" noThreeD="1"/>
</file>

<file path=xl/ctrlProps/ctrlProp47.xml><?xml version="1.0" encoding="utf-8"?>
<formControlPr xmlns="http://schemas.microsoft.com/office/spreadsheetml/2009/9/main" objectType="CheckBox" fmlaLink="$K$167" lockText="1" noThreeD="1"/>
</file>

<file path=xl/ctrlProps/ctrlProp48.xml><?xml version="1.0" encoding="utf-8"?>
<formControlPr xmlns="http://schemas.microsoft.com/office/spreadsheetml/2009/9/main" objectType="CheckBox" fmlaLink="$K$168" lockText="1" noThreeD="1"/>
</file>

<file path=xl/ctrlProps/ctrlProp49.xml><?xml version="1.0" encoding="utf-8"?>
<formControlPr xmlns="http://schemas.microsoft.com/office/spreadsheetml/2009/9/main" objectType="CheckBox" fmlaLink="$K$27" lockText="1" noThreeD="1"/>
</file>

<file path=xl/ctrlProps/ctrlProp5.xml><?xml version="1.0" encoding="utf-8"?>
<formControlPr xmlns="http://schemas.microsoft.com/office/spreadsheetml/2009/9/main" objectType="CheckBox" fmlaLink="$K$18" lockText="1" noThreeD="1"/>
</file>

<file path=xl/ctrlProps/ctrlProp50.xml><?xml version="1.0" encoding="utf-8"?>
<formControlPr xmlns="http://schemas.microsoft.com/office/spreadsheetml/2009/9/main" objectType="CheckBox" fmlaLink="$K$169" lockText="1" noThreeD="1"/>
</file>

<file path=xl/ctrlProps/ctrlProp51.xml><?xml version="1.0" encoding="utf-8"?>
<formControlPr xmlns="http://schemas.microsoft.com/office/spreadsheetml/2009/9/main" objectType="CheckBox" fmlaLink="$K$184" lockText="1" noThreeD="1"/>
</file>

<file path=xl/ctrlProps/ctrlProp52.xml><?xml version="1.0" encoding="utf-8"?>
<formControlPr xmlns="http://schemas.microsoft.com/office/spreadsheetml/2009/9/main" objectType="CheckBox" fmlaLink="$K$27" lockText="1" noThreeD="1"/>
</file>

<file path=xl/ctrlProps/ctrlProp53.xml><?xml version="1.0" encoding="utf-8"?>
<formControlPr xmlns="http://schemas.microsoft.com/office/spreadsheetml/2009/9/main" objectType="CheckBox" fmlaLink="$K$185" noThreeD="1"/>
</file>

<file path=xl/ctrlProps/ctrlProp54.xml><?xml version="1.0" encoding="utf-8"?>
<formControlPr xmlns="http://schemas.microsoft.com/office/spreadsheetml/2009/9/main" objectType="CheckBox" fmlaLink="$K$55" lockText="1" noThreeD="1"/>
</file>

<file path=xl/ctrlProps/ctrlProp55.xml><?xml version="1.0" encoding="utf-8"?>
<formControlPr xmlns="http://schemas.microsoft.com/office/spreadsheetml/2009/9/main" objectType="CheckBox" fmlaLink="$K$56" lockText="1" noThreeD="1"/>
</file>

<file path=xl/ctrlProps/ctrlProp56.xml><?xml version="1.0" encoding="utf-8"?>
<formControlPr xmlns="http://schemas.microsoft.com/office/spreadsheetml/2009/9/main" objectType="CheckBox" fmlaLink="$K$56" lockText="1" noThreeD="1"/>
</file>

<file path=xl/ctrlProps/ctrlProp57.xml><?xml version="1.0" encoding="utf-8"?>
<formControlPr xmlns="http://schemas.microsoft.com/office/spreadsheetml/2009/9/main" objectType="CheckBox" fmlaLink="$K$57" lockText="1" noThreeD="1"/>
</file>

<file path=xl/ctrlProps/ctrlProp58.xml><?xml version="1.0" encoding="utf-8"?>
<formControlPr xmlns="http://schemas.microsoft.com/office/spreadsheetml/2009/9/main" objectType="CheckBox" fmlaLink="$K$140" noThreeD="1"/>
</file>

<file path=xl/ctrlProps/ctrlProp59.xml><?xml version="1.0" encoding="utf-8"?>
<formControlPr xmlns="http://schemas.microsoft.com/office/spreadsheetml/2009/9/main" objectType="CheckBox" fmlaLink="$K$141" noThreeD="1"/>
</file>

<file path=xl/ctrlProps/ctrlProp6.xml><?xml version="1.0" encoding="utf-8"?>
<formControlPr xmlns="http://schemas.microsoft.com/office/spreadsheetml/2009/9/main" objectType="CheckBox" fmlaLink="$K$19" lockText="1" noThreeD="1"/>
</file>

<file path=xl/ctrlProps/ctrlProp60.xml><?xml version="1.0" encoding="utf-8"?>
<formControlPr xmlns="http://schemas.microsoft.com/office/spreadsheetml/2009/9/main" objectType="CheckBox" fmlaLink="$K$151" noThreeD="1"/>
</file>

<file path=xl/ctrlProps/ctrlProp61.xml><?xml version="1.0" encoding="utf-8"?>
<formControlPr xmlns="http://schemas.microsoft.com/office/spreadsheetml/2009/9/main" objectType="CheckBox" fmlaLink="$K$152" noThreeD="1"/>
</file>

<file path=xl/ctrlProps/ctrlProp62.xml><?xml version="1.0" encoding="utf-8"?>
<formControlPr xmlns="http://schemas.microsoft.com/office/spreadsheetml/2009/9/main" objectType="CheckBox" fmlaLink="$K$153" noThreeD="1"/>
</file>

<file path=xl/ctrlProps/ctrlProp63.xml><?xml version="1.0" encoding="utf-8"?>
<formControlPr xmlns="http://schemas.microsoft.com/office/spreadsheetml/2009/9/main" objectType="CheckBox" fmlaLink="$K$158" noThreeD="1"/>
</file>

<file path=xl/ctrlProps/ctrlProp64.xml><?xml version="1.0" encoding="utf-8"?>
<formControlPr xmlns="http://schemas.microsoft.com/office/spreadsheetml/2009/9/main" objectType="CheckBox" fmlaLink="$K$159" noThreeD="1"/>
</file>

<file path=xl/ctrlProps/ctrlProp65.xml><?xml version="1.0" encoding="utf-8"?>
<formControlPr xmlns="http://schemas.microsoft.com/office/spreadsheetml/2009/9/main" objectType="CheckBox" fmlaLink="$K$142" noThreeD="1"/>
</file>

<file path=xl/ctrlProps/ctrlProp66.xml><?xml version="1.0" encoding="utf-8"?>
<formControlPr xmlns="http://schemas.microsoft.com/office/spreadsheetml/2009/9/main" objectType="CheckBox" fmlaLink="$K$143" noThreeD="1"/>
</file>

<file path=xl/ctrlProps/ctrlProp67.xml><?xml version="1.0" encoding="utf-8"?>
<formControlPr xmlns="http://schemas.microsoft.com/office/spreadsheetml/2009/9/main" objectType="CheckBox" fmlaLink="$K$154" noThreeD="1"/>
</file>

<file path=xl/ctrlProps/ctrlProp68.xml><?xml version="1.0" encoding="utf-8"?>
<formControlPr xmlns="http://schemas.microsoft.com/office/spreadsheetml/2009/9/main" objectType="CheckBox" fmlaLink="$K$155" noThreeD="1"/>
</file>

<file path=xl/ctrlProps/ctrlProp69.xml><?xml version="1.0" encoding="utf-8"?>
<formControlPr xmlns="http://schemas.microsoft.com/office/spreadsheetml/2009/9/main" objectType="CheckBox" fmlaLink="$K$140" noThreeD="1"/>
</file>

<file path=xl/ctrlProps/ctrlProp7.xml><?xml version="1.0" encoding="utf-8"?>
<formControlPr xmlns="http://schemas.microsoft.com/office/spreadsheetml/2009/9/main" objectType="CheckBox" fmlaLink="$K$20" lockText="1" noThreeD="1"/>
</file>

<file path=xl/ctrlProps/ctrlProp70.xml><?xml version="1.0" encoding="utf-8"?>
<formControlPr xmlns="http://schemas.microsoft.com/office/spreadsheetml/2009/9/main" objectType="CheckBox" fmlaLink="$K$140" noThreeD="1"/>
</file>

<file path=xl/ctrlProps/ctrlProp71.xml><?xml version="1.0" encoding="utf-8"?>
<formControlPr xmlns="http://schemas.microsoft.com/office/spreadsheetml/2009/9/main" objectType="CheckBox" fmlaLink="$K$140" noThreeD="1"/>
</file>

<file path=xl/ctrlProps/ctrlProp72.xml><?xml version="1.0" encoding="utf-8"?>
<formControlPr xmlns="http://schemas.microsoft.com/office/spreadsheetml/2009/9/main" objectType="CheckBox" fmlaLink="$K$139" noThreeD="1"/>
</file>

<file path=xl/ctrlProps/ctrlProp73.xml><?xml version="1.0" encoding="utf-8"?>
<formControlPr xmlns="http://schemas.microsoft.com/office/spreadsheetml/2009/9/main" objectType="CheckBox" fmlaLink="$K$138" noThreeD="1"/>
</file>

<file path=xl/ctrlProps/ctrlProp74.xml><?xml version="1.0" encoding="utf-8"?>
<formControlPr xmlns="http://schemas.microsoft.com/office/spreadsheetml/2009/9/main" objectType="CheckBox" fmlaLink="$K$146" noThreeD="1"/>
</file>

<file path=xl/ctrlProps/ctrlProp75.xml><?xml version="1.0" encoding="utf-8"?>
<formControlPr xmlns="http://schemas.microsoft.com/office/spreadsheetml/2009/9/main" objectType="CheckBox" fmlaLink="$K$147" noThreeD="1"/>
</file>

<file path=xl/ctrlProps/ctrlProp76.xml><?xml version="1.0" encoding="utf-8"?>
<formControlPr xmlns="http://schemas.microsoft.com/office/spreadsheetml/2009/9/main" objectType="CheckBox" fmlaLink="$K$145" noThreeD="1"/>
</file>

<file path=xl/ctrlProps/ctrlProp8.xml><?xml version="1.0" encoding="utf-8"?>
<formControlPr xmlns="http://schemas.microsoft.com/office/spreadsheetml/2009/9/main" objectType="CheckBox" fmlaLink="$K$21" lockText="1" noThreeD="1"/>
</file>

<file path=xl/ctrlProps/ctrlProp9.xml><?xml version="1.0" encoding="utf-8"?>
<formControlPr xmlns="http://schemas.microsoft.com/office/spreadsheetml/2009/9/main" objectType="CheckBox" fmlaLink="$K$2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12</xdr:row>
          <xdr:rowOff>160020</xdr:rowOff>
        </xdr:from>
        <xdr:to>
          <xdr:col>2</xdr:col>
          <xdr:colOff>137160</xdr:colOff>
          <xdr:row>13</xdr:row>
          <xdr:rowOff>175260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</xdr:row>
          <xdr:rowOff>160020</xdr:rowOff>
        </xdr:from>
        <xdr:to>
          <xdr:col>2</xdr:col>
          <xdr:colOff>144780</xdr:colOff>
          <xdr:row>14</xdr:row>
          <xdr:rowOff>175260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14</xdr:row>
          <xdr:rowOff>160020</xdr:rowOff>
        </xdr:from>
        <xdr:to>
          <xdr:col>2</xdr:col>
          <xdr:colOff>137160</xdr:colOff>
          <xdr:row>15</xdr:row>
          <xdr:rowOff>175260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15</xdr:row>
          <xdr:rowOff>160020</xdr:rowOff>
        </xdr:from>
        <xdr:to>
          <xdr:col>2</xdr:col>
          <xdr:colOff>144780</xdr:colOff>
          <xdr:row>16</xdr:row>
          <xdr:rowOff>175260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</xdr:row>
          <xdr:rowOff>160020</xdr:rowOff>
        </xdr:from>
        <xdr:to>
          <xdr:col>2</xdr:col>
          <xdr:colOff>137160</xdr:colOff>
          <xdr:row>17</xdr:row>
          <xdr:rowOff>175260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17</xdr:row>
          <xdr:rowOff>160020</xdr:rowOff>
        </xdr:from>
        <xdr:to>
          <xdr:col>2</xdr:col>
          <xdr:colOff>144780</xdr:colOff>
          <xdr:row>18</xdr:row>
          <xdr:rowOff>175260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18</xdr:row>
          <xdr:rowOff>160020</xdr:rowOff>
        </xdr:from>
        <xdr:to>
          <xdr:col>2</xdr:col>
          <xdr:colOff>137160</xdr:colOff>
          <xdr:row>19</xdr:row>
          <xdr:rowOff>175260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19</xdr:row>
          <xdr:rowOff>160020</xdr:rowOff>
        </xdr:from>
        <xdr:to>
          <xdr:col>2</xdr:col>
          <xdr:colOff>144780</xdr:colOff>
          <xdr:row>20</xdr:row>
          <xdr:rowOff>175260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20</xdr:row>
          <xdr:rowOff>160020</xdr:rowOff>
        </xdr:from>
        <xdr:to>
          <xdr:col>2</xdr:col>
          <xdr:colOff>137160</xdr:colOff>
          <xdr:row>21</xdr:row>
          <xdr:rowOff>175260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21</xdr:row>
          <xdr:rowOff>160020</xdr:rowOff>
        </xdr:from>
        <xdr:to>
          <xdr:col>2</xdr:col>
          <xdr:colOff>144780</xdr:colOff>
          <xdr:row>22</xdr:row>
          <xdr:rowOff>175260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23</xdr:row>
          <xdr:rowOff>160020</xdr:rowOff>
        </xdr:from>
        <xdr:to>
          <xdr:col>2</xdr:col>
          <xdr:colOff>137160</xdr:colOff>
          <xdr:row>24</xdr:row>
          <xdr:rowOff>175260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24</xdr:row>
          <xdr:rowOff>160020</xdr:rowOff>
        </xdr:from>
        <xdr:to>
          <xdr:col>2</xdr:col>
          <xdr:colOff>144780</xdr:colOff>
          <xdr:row>25</xdr:row>
          <xdr:rowOff>175260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25</xdr:row>
          <xdr:rowOff>160020</xdr:rowOff>
        </xdr:from>
        <xdr:to>
          <xdr:col>2</xdr:col>
          <xdr:colOff>137160</xdr:colOff>
          <xdr:row>26</xdr:row>
          <xdr:rowOff>175260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28</xdr:row>
          <xdr:rowOff>160020</xdr:rowOff>
        </xdr:from>
        <xdr:to>
          <xdr:col>2</xdr:col>
          <xdr:colOff>137160</xdr:colOff>
          <xdr:row>29</xdr:row>
          <xdr:rowOff>175260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29</xdr:row>
          <xdr:rowOff>160020</xdr:rowOff>
        </xdr:from>
        <xdr:to>
          <xdr:col>2</xdr:col>
          <xdr:colOff>137160</xdr:colOff>
          <xdr:row>30</xdr:row>
          <xdr:rowOff>175260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30</xdr:row>
          <xdr:rowOff>160020</xdr:rowOff>
        </xdr:from>
        <xdr:to>
          <xdr:col>2</xdr:col>
          <xdr:colOff>137160</xdr:colOff>
          <xdr:row>31</xdr:row>
          <xdr:rowOff>175260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31</xdr:row>
          <xdr:rowOff>160020</xdr:rowOff>
        </xdr:from>
        <xdr:to>
          <xdr:col>2</xdr:col>
          <xdr:colOff>137160</xdr:colOff>
          <xdr:row>32</xdr:row>
          <xdr:rowOff>175260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32</xdr:row>
          <xdr:rowOff>160020</xdr:rowOff>
        </xdr:from>
        <xdr:to>
          <xdr:col>2</xdr:col>
          <xdr:colOff>137160</xdr:colOff>
          <xdr:row>33</xdr:row>
          <xdr:rowOff>175260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33</xdr:row>
          <xdr:rowOff>160020</xdr:rowOff>
        </xdr:from>
        <xdr:to>
          <xdr:col>2</xdr:col>
          <xdr:colOff>137160</xdr:colOff>
          <xdr:row>34</xdr:row>
          <xdr:rowOff>175260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34</xdr:row>
          <xdr:rowOff>160020</xdr:rowOff>
        </xdr:from>
        <xdr:to>
          <xdr:col>2</xdr:col>
          <xdr:colOff>137160</xdr:colOff>
          <xdr:row>35</xdr:row>
          <xdr:rowOff>175260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35</xdr:row>
          <xdr:rowOff>160020</xdr:rowOff>
        </xdr:from>
        <xdr:to>
          <xdr:col>2</xdr:col>
          <xdr:colOff>137160</xdr:colOff>
          <xdr:row>36</xdr:row>
          <xdr:rowOff>175260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43</xdr:row>
          <xdr:rowOff>22860</xdr:rowOff>
        </xdr:from>
        <xdr:to>
          <xdr:col>2</xdr:col>
          <xdr:colOff>137160</xdr:colOff>
          <xdr:row>43</xdr:row>
          <xdr:rowOff>175260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43</xdr:row>
          <xdr:rowOff>160020</xdr:rowOff>
        </xdr:from>
        <xdr:to>
          <xdr:col>2</xdr:col>
          <xdr:colOff>137160</xdr:colOff>
          <xdr:row>44</xdr:row>
          <xdr:rowOff>175260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44</xdr:row>
          <xdr:rowOff>160020</xdr:rowOff>
        </xdr:from>
        <xdr:to>
          <xdr:col>2</xdr:col>
          <xdr:colOff>137160</xdr:colOff>
          <xdr:row>45</xdr:row>
          <xdr:rowOff>175260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45</xdr:row>
          <xdr:rowOff>160020</xdr:rowOff>
        </xdr:from>
        <xdr:to>
          <xdr:col>2</xdr:col>
          <xdr:colOff>137160</xdr:colOff>
          <xdr:row>46</xdr:row>
          <xdr:rowOff>175260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46</xdr:row>
          <xdr:rowOff>160020</xdr:rowOff>
        </xdr:from>
        <xdr:to>
          <xdr:col>2</xdr:col>
          <xdr:colOff>137160</xdr:colOff>
          <xdr:row>47</xdr:row>
          <xdr:rowOff>175260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47</xdr:row>
          <xdr:rowOff>160020</xdr:rowOff>
        </xdr:from>
        <xdr:to>
          <xdr:col>2</xdr:col>
          <xdr:colOff>137160</xdr:colOff>
          <xdr:row>48</xdr:row>
          <xdr:rowOff>175260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48</xdr:row>
          <xdr:rowOff>160020</xdr:rowOff>
        </xdr:from>
        <xdr:to>
          <xdr:col>2</xdr:col>
          <xdr:colOff>137160</xdr:colOff>
          <xdr:row>49</xdr:row>
          <xdr:rowOff>175260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50</xdr:row>
          <xdr:rowOff>0</xdr:rowOff>
        </xdr:from>
        <xdr:to>
          <xdr:col>2</xdr:col>
          <xdr:colOff>137160</xdr:colOff>
          <xdr:row>51</xdr:row>
          <xdr:rowOff>22860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61</xdr:row>
          <xdr:rowOff>0</xdr:rowOff>
        </xdr:from>
        <xdr:to>
          <xdr:col>2</xdr:col>
          <xdr:colOff>137160</xdr:colOff>
          <xdr:row>62</xdr:row>
          <xdr:rowOff>22860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0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61</xdr:row>
          <xdr:rowOff>160020</xdr:rowOff>
        </xdr:from>
        <xdr:to>
          <xdr:col>2</xdr:col>
          <xdr:colOff>137160</xdr:colOff>
          <xdr:row>62</xdr:row>
          <xdr:rowOff>175260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70</xdr:row>
          <xdr:rowOff>160020</xdr:rowOff>
        </xdr:from>
        <xdr:to>
          <xdr:col>2</xdr:col>
          <xdr:colOff>137160</xdr:colOff>
          <xdr:row>71</xdr:row>
          <xdr:rowOff>175260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63</xdr:row>
          <xdr:rowOff>160020</xdr:rowOff>
        </xdr:from>
        <xdr:to>
          <xdr:col>2</xdr:col>
          <xdr:colOff>137160</xdr:colOff>
          <xdr:row>64</xdr:row>
          <xdr:rowOff>175260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64</xdr:row>
          <xdr:rowOff>160020</xdr:rowOff>
        </xdr:from>
        <xdr:to>
          <xdr:col>2</xdr:col>
          <xdr:colOff>137160</xdr:colOff>
          <xdr:row>65</xdr:row>
          <xdr:rowOff>175260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65</xdr:row>
          <xdr:rowOff>160020</xdr:rowOff>
        </xdr:from>
        <xdr:to>
          <xdr:col>2</xdr:col>
          <xdr:colOff>137160</xdr:colOff>
          <xdr:row>66</xdr:row>
          <xdr:rowOff>175260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66</xdr:row>
          <xdr:rowOff>160020</xdr:rowOff>
        </xdr:from>
        <xdr:to>
          <xdr:col>2</xdr:col>
          <xdr:colOff>137160</xdr:colOff>
          <xdr:row>67</xdr:row>
          <xdr:rowOff>175260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0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7</xdr:row>
          <xdr:rowOff>160020</xdr:rowOff>
        </xdr:from>
        <xdr:to>
          <xdr:col>2</xdr:col>
          <xdr:colOff>121920</xdr:colOff>
          <xdr:row>8</xdr:row>
          <xdr:rowOff>175260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8</xdr:row>
          <xdr:rowOff>160020</xdr:rowOff>
        </xdr:from>
        <xdr:to>
          <xdr:col>2</xdr:col>
          <xdr:colOff>144780</xdr:colOff>
          <xdr:row>9</xdr:row>
          <xdr:rowOff>175260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9</xdr:row>
          <xdr:rowOff>160020</xdr:rowOff>
        </xdr:from>
        <xdr:to>
          <xdr:col>2</xdr:col>
          <xdr:colOff>137160</xdr:colOff>
          <xdr:row>10</xdr:row>
          <xdr:rowOff>175260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10</xdr:row>
          <xdr:rowOff>160020</xdr:rowOff>
        </xdr:from>
        <xdr:to>
          <xdr:col>2</xdr:col>
          <xdr:colOff>144780</xdr:colOff>
          <xdr:row>11</xdr:row>
          <xdr:rowOff>175260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70</xdr:row>
          <xdr:rowOff>7620</xdr:rowOff>
        </xdr:from>
        <xdr:to>
          <xdr:col>2</xdr:col>
          <xdr:colOff>137160</xdr:colOff>
          <xdr:row>70</xdr:row>
          <xdr:rowOff>175260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48</xdr:row>
          <xdr:rowOff>160020</xdr:rowOff>
        </xdr:from>
        <xdr:to>
          <xdr:col>2</xdr:col>
          <xdr:colOff>137160</xdr:colOff>
          <xdr:row>49</xdr:row>
          <xdr:rowOff>175260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0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161</xdr:row>
          <xdr:rowOff>160020</xdr:rowOff>
        </xdr:from>
        <xdr:to>
          <xdr:col>2</xdr:col>
          <xdr:colOff>137160</xdr:colOff>
          <xdr:row>162</xdr:row>
          <xdr:rowOff>175260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0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162</xdr:row>
          <xdr:rowOff>160020</xdr:rowOff>
        </xdr:from>
        <xdr:to>
          <xdr:col>2</xdr:col>
          <xdr:colOff>137160</xdr:colOff>
          <xdr:row>163</xdr:row>
          <xdr:rowOff>175260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0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163</xdr:row>
          <xdr:rowOff>160020</xdr:rowOff>
        </xdr:from>
        <xdr:to>
          <xdr:col>2</xdr:col>
          <xdr:colOff>137160</xdr:colOff>
          <xdr:row>164</xdr:row>
          <xdr:rowOff>175260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164</xdr:row>
          <xdr:rowOff>160020</xdr:rowOff>
        </xdr:from>
        <xdr:to>
          <xdr:col>2</xdr:col>
          <xdr:colOff>137160</xdr:colOff>
          <xdr:row>165</xdr:row>
          <xdr:rowOff>175260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165</xdr:row>
          <xdr:rowOff>160020</xdr:rowOff>
        </xdr:from>
        <xdr:to>
          <xdr:col>2</xdr:col>
          <xdr:colOff>137160</xdr:colOff>
          <xdr:row>166</xdr:row>
          <xdr:rowOff>175260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166</xdr:row>
          <xdr:rowOff>160020</xdr:rowOff>
        </xdr:from>
        <xdr:to>
          <xdr:col>2</xdr:col>
          <xdr:colOff>137160</xdr:colOff>
          <xdr:row>167</xdr:row>
          <xdr:rowOff>175260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167</xdr:row>
          <xdr:rowOff>160020</xdr:rowOff>
        </xdr:from>
        <xdr:to>
          <xdr:col>2</xdr:col>
          <xdr:colOff>137160</xdr:colOff>
          <xdr:row>168</xdr:row>
          <xdr:rowOff>175260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0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167</xdr:row>
          <xdr:rowOff>160020</xdr:rowOff>
        </xdr:from>
        <xdr:to>
          <xdr:col>2</xdr:col>
          <xdr:colOff>137160</xdr:colOff>
          <xdr:row>168</xdr:row>
          <xdr:rowOff>175260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0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182</xdr:row>
          <xdr:rowOff>160020</xdr:rowOff>
        </xdr:from>
        <xdr:to>
          <xdr:col>2</xdr:col>
          <xdr:colOff>137160</xdr:colOff>
          <xdr:row>183</xdr:row>
          <xdr:rowOff>175260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0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183</xdr:row>
          <xdr:rowOff>160020</xdr:rowOff>
        </xdr:from>
        <xdr:to>
          <xdr:col>2</xdr:col>
          <xdr:colOff>137160</xdr:colOff>
          <xdr:row>184</xdr:row>
          <xdr:rowOff>175260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0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183</xdr:row>
          <xdr:rowOff>160020</xdr:rowOff>
        </xdr:from>
        <xdr:to>
          <xdr:col>2</xdr:col>
          <xdr:colOff>137160</xdr:colOff>
          <xdr:row>184</xdr:row>
          <xdr:rowOff>175260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0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54</xdr:row>
          <xdr:rowOff>0</xdr:rowOff>
        </xdr:from>
        <xdr:to>
          <xdr:col>2</xdr:col>
          <xdr:colOff>137160</xdr:colOff>
          <xdr:row>55</xdr:row>
          <xdr:rowOff>22860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0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55</xdr:row>
          <xdr:rowOff>0</xdr:rowOff>
        </xdr:from>
        <xdr:to>
          <xdr:col>2</xdr:col>
          <xdr:colOff>137160</xdr:colOff>
          <xdr:row>56</xdr:row>
          <xdr:rowOff>22860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0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55</xdr:row>
          <xdr:rowOff>0</xdr:rowOff>
        </xdr:from>
        <xdr:to>
          <xdr:col>2</xdr:col>
          <xdr:colOff>137160</xdr:colOff>
          <xdr:row>56</xdr:row>
          <xdr:rowOff>22860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56</xdr:row>
          <xdr:rowOff>0</xdr:rowOff>
        </xdr:from>
        <xdr:to>
          <xdr:col>2</xdr:col>
          <xdr:colOff>137160</xdr:colOff>
          <xdr:row>57</xdr:row>
          <xdr:rowOff>22860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0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138</xdr:row>
          <xdr:rowOff>160020</xdr:rowOff>
        </xdr:from>
        <xdr:to>
          <xdr:col>2</xdr:col>
          <xdr:colOff>137160</xdr:colOff>
          <xdr:row>139</xdr:row>
          <xdr:rowOff>175260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0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139</xdr:row>
          <xdr:rowOff>160020</xdr:rowOff>
        </xdr:from>
        <xdr:to>
          <xdr:col>2</xdr:col>
          <xdr:colOff>137160</xdr:colOff>
          <xdr:row>140</xdr:row>
          <xdr:rowOff>175260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0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145</xdr:row>
          <xdr:rowOff>22860</xdr:rowOff>
        </xdr:from>
        <xdr:to>
          <xdr:col>2</xdr:col>
          <xdr:colOff>144780</xdr:colOff>
          <xdr:row>146</xdr:row>
          <xdr:rowOff>22860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146</xdr:row>
          <xdr:rowOff>22860</xdr:rowOff>
        </xdr:from>
        <xdr:to>
          <xdr:col>2</xdr:col>
          <xdr:colOff>137160</xdr:colOff>
          <xdr:row>146</xdr:row>
          <xdr:rowOff>175260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0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149</xdr:row>
          <xdr:rowOff>160020</xdr:rowOff>
        </xdr:from>
        <xdr:to>
          <xdr:col>2</xdr:col>
          <xdr:colOff>137160</xdr:colOff>
          <xdr:row>150</xdr:row>
          <xdr:rowOff>175260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0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150</xdr:row>
          <xdr:rowOff>160020</xdr:rowOff>
        </xdr:from>
        <xdr:to>
          <xdr:col>2</xdr:col>
          <xdr:colOff>137160</xdr:colOff>
          <xdr:row>151</xdr:row>
          <xdr:rowOff>175260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0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151</xdr:row>
          <xdr:rowOff>160020</xdr:rowOff>
        </xdr:from>
        <xdr:to>
          <xdr:col>2</xdr:col>
          <xdr:colOff>137160</xdr:colOff>
          <xdr:row>152</xdr:row>
          <xdr:rowOff>175260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0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157</xdr:row>
          <xdr:rowOff>22860</xdr:rowOff>
        </xdr:from>
        <xdr:to>
          <xdr:col>2</xdr:col>
          <xdr:colOff>114300</xdr:colOff>
          <xdr:row>157</xdr:row>
          <xdr:rowOff>160020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0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158</xdr:row>
          <xdr:rowOff>7620</xdr:rowOff>
        </xdr:from>
        <xdr:to>
          <xdr:col>2</xdr:col>
          <xdr:colOff>137160</xdr:colOff>
          <xdr:row>158</xdr:row>
          <xdr:rowOff>175260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144</xdr:row>
          <xdr:rowOff>22860</xdr:rowOff>
        </xdr:from>
        <xdr:to>
          <xdr:col>2</xdr:col>
          <xdr:colOff>137160</xdr:colOff>
          <xdr:row>145</xdr:row>
          <xdr:rowOff>30480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0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213360</xdr:colOff>
          <xdr:row>141</xdr:row>
          <xdr:rowOff>38100</xdr:rowOff>
        </xdr:from>
        <xdr:to>
          <xdr:col>9</xdr:col>
          <xdr:colOff>289560</xdr:colOff>
          <xdr:row>142</xdr:row>
          <xdr:rowOff>22860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0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ДА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141</xdr:row>
          <xdr:rowOff>38100</xdr:rowOff>
        </xdr:from>
        <xdr:to>
          <xdr:col>10</xdr:col>
          <xdr:colOff>327660</xdr:colOff>
          <xdr:row>142</xdr:row>
          <xdr:rowOff>22860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0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НЕ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213360</xdr:colOff>
          <xdr:row>153</xdr:row>
          <xdr:rowOff>22860</xdr:rowOff>
        </xdr:from>
        <xdr:to>
          <xdr:col>9</xdr:col>
          <xdr:colOff>289560</xdr:colOff>
          <xdr:row>154</xdr:row>
          <xdr:rowOff>22860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0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ДА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153</xdr:row>
          <xdr:rowOff>22860</xdr:rowOff>
        </xdr:from>
        <xdr:to>
          <xdr:col>10</xdr:col>
          <xdr:colOff>327660</xdr:colOff>
          <xdr:row>154</xdr:row>
          <xdr:rowOff>22860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0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НЕ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137</xdr:row>
          <xdr:rowOff>160020</xdr:rowOff>
        </xdr:from>
        <xdr:to>
          <xdr:col>2</xdr:col>
          <xdr:colOff>137160</xdr:colOff>
          <xdr:row>138</xdr:row>
          <xdr:rowOff>175260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0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138</xdr:row>
          <xdr:rowOff>160020</xdr:rowOff>
        </xdr:from>
        <xdr:to>
          <xdr:col>2</xdr:col>
          <xdr:colOff>137160</xdr:colOff>
          <xdr:row>139</xdr:row>
          <xdr:rowOff>175260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0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136</xdr:row>
          <xdr:rowOff>160020</xdr:rowOff>
        </xdr:from>
        <xdr:to>
          <xdr:col>2</xdr:col>
          <xdr:colOff>137160</xdr:colOff>
          <xdr:row>137</xdr:row>
          <xdr:rowOff>175260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0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137</xdr:row>
          <xdr:rowOff>160020</xdr:rowOff>
        </xdr:from>
        <xdr:to>
          <xdr:col>2</xdr:col>
          <xdr:colOff>137160</xdr:colOff>
          <xdr:row>138</xdr:row>
          <xdr:rowOff>175260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0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136</xdr:row>
          <xdr:rowOff>160020</xdr:rowOff>
        </xdr:from>
        <xdr:to>
          <xdr:col>2</xdr:col>
          <xdr:colOff>137160</xdr:colOff>
          <xdr:row>137</xdr:row>
          <xdr:rowOff>175260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0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regov-my.sharepoint.com/personal/zivojin_stuparevic_mre_gov_rs/Documents/Documents/MRE/TEHNIKA/KALKULATOR%20USTEDA/USVOJENE%20ULAZNE%20VREDNOSTI__JP--2-23.xlsx" TargetMode="External"/><Relationship Id="rId1" Type="http://schemas.openxmlformats.org/officeDocument/2006/relationships/externalLinkPath" Target="USVOJENE%20ULAZNE%20VREDNOSTI__JP--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SVOJENE_VREDNOSTI"/>
    </sheetNames>
    <sheetDataSet>
      <sheetData sheetId="0">
        <row r="5">
          <cell r="C5">
            <v>0.85</v>
          </cell>
        </row>
        <row r="10">
          <cell r="C10">
            <v>242</v>
          </cell>
        </row>
        <row r="11">
          <cell r="C11">
            <v>251.28</v>
          </cell>
        </row>
        <row r="12">
          <cell r="C12">
            <v>252.38</v>
          </cell>
        </row>
        <row r="13">
          <cell r="C13">
            <v>326.14</v>
          </cell>
        </row>
        <row r="14">
          <cell r="C14">
            <v>339</v>
          </cell>
        </row>
        <row r="15">
          <cell r="C15">
            <v>239.68</v>
          </cell>
        </row>
        <row r="16">
          <cell r="C16">
            <v>60.92</v>
          </cell>
        </row>
        <row r="17">
          <cell r="C17">
            <v>275.08</v>
          </cell>
        </row>
        <row r="22">
          <cell r="C22">
            <v>1.1000000000000001</v>
          </cell>
          <cell r="D22">
            <v>49</v>
          </cell>
        </row>
        <row r="23">
          <cell r="C23">
            <v>1.17</v>
          </cell>
          <cell r="D23">
            <v>43</v>
          </cell>
        </row>
        <row r="24">
          <cell r="C24">
            <v>1.57</v>
          </cell>
          <cell r="D24">
            <v>53</v>
          </cell>
        </row>
        <row r="25">
          <cell r="C25">
            <v>1.7</v>
          </cell>
          <cell r="D25">
            <v>29</v>
          </cell>
        </row>
        <row r="26">
          <cell r="C26">
            <v>1.7</v>
          </cell>
          <cell r="D26">
            <v>29</v>
          </cell>
        </row>
        <row r="27">
          <cell r="C27">
            <v>0.32</v>
          </cell>
          <cell r="D27">
            <v>39</v>
          </cell>
        </row>
        <row r="28">
          <cell r="C28">
            <v>0.19</v>
          </cell>
          <cell r="D28">
            <v>50</v>
          </cell>
        </row>
        <row r="29">
          <cell r="C29">
            <v>1.26</v>
          </cell>
          <cell r="D29">
            <v>40</v>
          </cell>
        </row>
        <row r="33">
          <cell r="C33">
            <v>0.62</v>
          </cell>
          <cell r="D33">
            <v>25</v>
          </cell>
        </row>
        <row r="34">
          <cell r="C34">
            <v>0.64</v>
          </cell>
          <cell r="D34">
            <v>18</v>
          </cell>
        </row>
        <row r="35">
          <cell r="C35">
            <v>0.64</v>
          </cell>
          <cell r="D35">
            <v>18</v>
          </cell>
        </row>
        <row r="36">
          <cell r="C36">
            <v>0.61</v>
          </cell>
          <cell r="D36">
            <v>18</v>
          </cell>
        </row>
        <row r="37">
          <cell r="C37">
            <v>0.65</v>
          </cell>
          <cell r="D37">
            <v>17</v>
          </cell>
        </row>
        <row r="38">
          <cell r="C38">
            <v>0.32</v>
          </cell>
          <cell r="D38">
            <v>23</v>
          </cell>
        </row>
        <row r="39">
          <cell r="C39">
            <v>0.26</v>
          </cell>
          <cell r="D39">
            <v>36</v>
          </cell>
        </row>
        <row r="40">
          <cell r="C40">
            <v>0.57999999999999996</v>
          </cell>
          <cell r="D40">
            <v>20</v>
          </cell>
        </row>
        <row r="44">
          <cell r="C44">
            <v>0.9</v>
          </cell>
          <cell r="D44">
            <v>34</v>
          </cell>
        </row>
        <row r="45">
          <cell r="C45">
            <v>0.9</v>
          </cell>
          <cell r="D45">
            <v>34</v>
          </cell>
        </row>
        <row r="46">
          <cell r="C46">
            <v>2.17</v>
          </cell>
          <cell r="D46">
            <v>28</v>
          </cell>
        </row>
        <row r="47">
          <cell r="C47">
            <v>1.48</v>
          </cell>
          <cell r="D47">
            <v>28</v>
          </cell>
        </row>
        <row r="48">
          <cell r="C48">
            <v>1.48</v>
          </cell>
          <cell r="D48">
            <v>28</v>
          </cell>
        </row>
        <row r="49">
          <cell r="C49">
            <v>1.49</v>
          </cell>
          <cell r="D49">
            <v>27</v>
          </cell>
        </row>
        <row r="50">
          <cell r="C50">
            <v>0.3</v>
          </cell>
          <cell r="D50">
            <v>30</v>
          </cell>
        </row>
        <row r="51">
          <cell r="C51">
            <v>1.4</v>
          </cell>
          <cell r="D51">
            <v>30</v>
          </cell>
        </row>
        <row r="55">
          <cell r="C55">
            <v>0.65</v>
          </cell>
          <cell r="D55">
            <v>32.5</v>
          </cell>
        </row>
        <row r="56">
          <cell r="C56">
            <v>0.77</v>
          </cell>
          <cell r="D56">
            <v>23</v>
          </cell>
        </row>
        <row r="57">
          <cell r="C57">
            <v>0.71</v>
          </cell>
          <cell r="D57">
            <v>31.5</v>
          </cell>
        </row>
        <row r="58">
          <cell r="C58">
            <v>2.4500000000000002</v>
          </cell>
          <cell r="D58">
            <v>23</v>
          </cell>
        </row>
        <row r="59">
          <cell r="C59">
            <v>2.4500000000000002</v>
          </cell>
          <cell r="D59">
            <v>23</v>
          </cell>
        </row>
        <row r="60">
          <cell r="C60">
            <v>2.4700000000000002</v>
          </cell>
          <cell r="D60">
            <v>22</v>
          </cell>
        </row>
        <row r="61">
          <cell r="C61">
            <v>0.2</v>
          </cell>
          <cell r="D61">
            <v>37</v>
          </cell>
        </row>
        <row r="62">
          <cell r="C62">
            <v>1.58</v>
          </cell>
          <cell r="D62">
            <v>26</v>
          </cell>
        </row>
        <row r="66">
          <cell r="C66">
            <v>1.31</v>
          </cell>
        </row>
        <row r="67">
          <cell r="C67">
            <v>1.31</v>
          </cell>
        </row>
        <row r="68">
          <cell r="C68">
            <v>1.31</v>
          </cell>
        </row>
        <row r="69">
          <cell r="C69">
            <v>0.52</v>
          </cell>
          <cell r="D69">
            <v>37</v>
          </cell>
        </row>
        <row r="70">
          <cell r="C70">
            <v>0.55000000000000004</v>
          </cell>
        </row>
        <row r="71">
          <cell r="C71">
            <v>0.47</v>
          </cell>
          <cell r="D71">
            <v>30</v>
          </cell>
        </row>
        <row r="72">
          <cell r="C72">
            <v>0.15</v>
          </cell>
          <cell r="D72">
            <v>45</v>
          </cell>
        </row>
        <row r="73">
          <cell r="C73">
            <v>0.91</v>
          </cell>
          <cell r="D73">
            <v>34</v>
          </cell>
        </row>
        <row r="77">
          <cell r="F77">
            <v>0.5</v>
          </cell>
        </row>
        <row r="78">
          <cell r="F78">
            <v>0.57999999999999996</v>
          </cell>
        </row>
        <row r="79">
          <cell r="F79">
            <v>0.68</v>
          </cell>
        </row>
        <row r="80">
          <cell r="F80">
            <v>0.63</v>
          </cell>
        </row>
        <row r="81">
          <cell r="F81">
            <v>0.72</v>
          </cell>
        </row>
        <row r="82">
          <cell r="F82">
            <v>0.68</v>
          </cell>
        </row>
        <row r="83">
          <cell r="F83">
            <v>0.8</v>
          </cell>
        </row>
        <row r="84">
          <cell r="F84">
            <v>0.95</v>
          </cell>
        </row>
        <row r="86">
          <cell r="F86">
            <v>0.78</v>
          </cell>
        </row>
        <row r="87">
          <cell r="F87">
            <v>2.5</v>
          </cell>
        </row>
        <row r="88">
          <cell r="F88">
            <v>0.98</v>
          </cell>
        </row>
        <row r="92">
          <cell r="F92">
            <v>0.95</v>
          </cell>
        </row>
        <row r="93">
          <cell r="F93">
            <v>0.98</v>
          </cell>
        </row>
        <row r="104">
          <cell r="B104">
            <v>1</v>
          </cell>
          <cell r="C104" t="str">
            <v>m3  (pm)</v>
          </cell>
          <cell r="D104">
            <v>8445600</v>
          </cell>
          <cell r="E104" t="str">
            <v>kJ/m3</v>
          </cell>
          <cell r="F104">
            <v>7000</v>
          </cell>
          <cell r="G104">
            <v>0</v>
          </cell>
          <cell r="K104">
            <v>16000</v>
          </cell>
          <cell r="L104">
            <v>18300</v>
          </cell>
          <cell r="M104">
            <v>21000</v>
          </cell>
          <cell r="N104">
            <v>10300</v>
          </cell>
          <cell r="O104">
            <v>19400</v>
          </cell>
        </row>
        <row r="105">
          <cell r="B105">
            <v>1</v>
          </cell>
          <cell r="C105" t="str">
            <v>kg</v>
          </cell>
          <cell r="D105">
            <v>17886</v>
          </cell>
          <cell r="E105" t="str">
            <v>kJ/kg</v>
          </cell>
          <cell r="F105">
            <v>22</v>
          </cell>
          <cell r="G105">
            <v>0.35</v>
          </cell>
          <cell r="K105">
            <v>22560</v>
          </cell>
          <cell r="L105">
            <v>21960</v>
          </cell>
          <cell r="M105">
            <v>25200</v>
          </cell>
          <cell r="N105">
            <v>16800</v>
          </cell>
          <cell r="O105">
            <v>23520</v>
          </cell>
        </row>
        <row r="106">
          <cell r="B106">
            <v>1</v>
          </cell>
          <cell r="C106" t="str">
            <v>kg</v>
          </cell>
          <cell r="D106">
            <v>41200</v>
          </cell>
          <cell r="E106" t="str">
            <v>kJ/kg</v>
          </cell>
          <cell r="F106">
            <v>90</v>
          </cell>
          <cell r="G106">
            <v>0.28000000000000003</v>
          </cell>
        </row>
        <row r="107">
          <cell r="B107">
            <v>3.0150000000000001</v>
          </cell>
          <cell r="C107" t="str">
            <v>kWh</v>
          </cell>
          <cell r="D107">
            <v>1</v>
          </cell>
          <cell r="E107" t="str">
            <v>kWh/kWh</v>
          </cell>
          <cell r="F107">
            <v>10</v>
          </cell>
          <cell r="G107">
            <v>1.099</v>
          </cell>
        </row>
        <row r="108">
          <cell r="B108">
            <v>1</v>
          </cell>
          <cell r="C108" t="str">
            <v>m3</v>
          </cell>
          <cell r="D108">
            <v>33500</v>
          </cell>
          <cell r="E108" t="str">
            <v>kJ/m3</v>
          </cell>
          <cell r="F108">
            <v>42.131999999999998</v>
          </cell>
          <cell r="G108">
            <v>0.18</v>
          </cell>
        </row>
        <row r="109">
          <cell r="B109">
            <v>1</v>
          </cell>
          <cell r="C109" t="str">
            <v>kg</v>
          </cell>
          <cell r="D109">
            <v>18000</v>
          </cell>
          <cell r="E109" t="str">
            <v>kJ/kg</v>
          </cell>
          <cell r="F109">
            <v>33</v>
          </cell>
          <cell r="G109">
            <v>0</v>
          </cell>
        </row>
        <row r="110">
          <cell r="B110">
            <v>3.0150000000000001</v>
          </cell>
          <cell r="C110" t="str">
            <v>kWh</v>
          </cell>
          <cell r="D110">
            <v>1</v>
          </cell>
          <cell r="E110" t="str">
            <v>kWh/kWh</v>
          </cell>
          <cell r="F110">
            <v>5</v>
          </cell>
          <cell r="G110">
            <v>1.099</v>
          </cell>
          <cell r="K110">
            <v>9.0190000000000001</v>
          </cell>
          <cell r="L110">
            <v>2.2770000000000001</v>
          </cell>
        </row>
        <row r="111">
          <cell r="B111">
            <v>1.56</v>
          </cell>
          <cell r="C111" t="str">
            <v>kWh</v>
          </cell>
          <cell r="D111">
            <v>1</v>
          </cell>
          <cell r="E111" t="str">
            <v>kWh/kWh</v>
          </cell>
          <cell r="F111">
            <v>8.06</v>
          </cell>
          <cell r="G111">
            <v>0.28699999999999998</v>
          </cell>
          <cell r="K111">
            <v>13.6638</v>
          </cell>
          <cell r="L111">
            <v>3.4159999999999999</v>
          </cell>
        </row>
        <row r="112">
          <cell r="K112">
            <v>27.3276</v>
          </cell>
          <cell r="L112">
            <v>6.8319000000000001</v>
          </cell>
        </row>
        <row r="115">
          <cell r="C115">
            <v>3.5</v>
          </cell>
        </row>
        <row r="116">
          <cell r="C116">
            <v>5.8</v>
          </cell>
        </row>
        <row r="121">
          <cell r="C121">
            <v>5.2</v>
          </cell>
        </row>
        <row r="122">
          <cell r="C122">
            <v>3.3</v>
          </cell>
        </row>
        <row r="123">
          <cell r="C123">
            <v>2.2999999999999998</v>
          </cell>
        </row>
        <row r="125">
          <cell r="C125">
            <v>5.8</v>
          </cell>
        </row>
        <row r="126">
          <cell r="C126">
            <v>4</v>
          </cell>
        </row>
        <row r="127">
          <cell r="C127">
            <v>3.3</v>
          </cell>
        </row>
        <row r="131">
          <cell r="C131">
            <v>1.5</v>
          </cell>
          <cell r="D131">
            <v>0.8</v>
          </cell>
          <cell r="E131">
            <v>0.5</v>
          </cell>
        </row>
        <row r="132">
          <cell r="C132">
            <v>1.1000000000000001</v>
          </cell>
          <cell r="D132">
            <v>0.6</v>
          </cell>
          <cell r="E132">
            <v>0.5</v>
          </cell>
        </row>
        <row r="133">
          <cell r="C133">
            <v>0.76</v>
          </cell>
          <cell r="D133">
            <v>0.5</v>
          </cell>
          <cell r="E133">
            <v>0.5</v>
          </cell>
        </row>
        <row r="136">
          <cell r="B136">
            <v>30</v>
          </cell>
        </row>
        <row r="137">
          <cell r="B137">
            <v>35</v>
          </cell>
        </row>
        <row r="138">
          <cell r="B138">
            <v>10</v>
          </cell>
        </row>
        <row r="139">
          <cell r="B139">
            <v>750</v>
          </cell>
        </row>
        <row r="143">
          <cell r="C143">
            <v>42.75</v>
          </cell>
          <cell r="D143">
            <v>64.25</v>
          </cell>
          <cell r="E143">
            <v>32.57</v>
          </cell>
          <cell r="F143">
            <v>17.420000000000002</v>
          </cell>
        </row>
        <row r="144">
          <cell r="C144">
            <v>60.35</v>
          </cell>
          <cell r="D144">
            <v>76.98</v>
          </cell>
          <cell r="E144">
            <v>55.35</v>
          </cell>
          <cell r="F144">
            <v>22.38</v>
          </cell>
        </row>
        <row r="145">
          <cell r="C145">
            <v>103.86</v>
          </cell>
          <cell r="D145">
            <v>96.43</v>
          </cell>
          <cell r="E145">
            <v>79.8</v>
          </cell>
          <cell r="F145">
            <v>36.04</v>
          </cell>
        </row>
        <row r="146">
          <cell r="C146">
            <v>133.65</v>
          </cell>
          <cell r="D146">
            <v>86.73</v>
          </cell>
          <cell r="E146">
            <v>96.05</v>
          </cell>
          <cell r="F146">
            <v>44.64</v>
          </cell>
        </row>
        <row r="147">
          <cell r="C147">
            <v>170.43</v>
          </cell>
          <cell r="D147">
            <v>86.28</v>
          </cell>
          <cell r="E147">
            <v>112.9</v>
          </cell>
          <cell r="F147">
            <v>55.69</v>
          </cell>
        </row>
        <row r="148">
          <cell r="C148">
            <v>181.23</v>
          </cell>
          <cell r="D148">
            <v>81.430000000000007</v>
          </cell>
          <cell r="E148">
            <v>116.78</v>
          </cell>
          <cell r="F148">
            <v>56.88</v>
          </cell>
        </row>
        <row r="149">
          <cell r="C149">
            <v>192.83</v>
          </cell>
          <cell r="D149">
            <v>90.31</v>
          </cell>
          <cell r="E149">
            <v>125.22</v>
          </cell>
          <cell r="F149">
            <v>58.27</v>
          </cell>
        </row>
        <row r="150">
          <cell r="C150">
            <v>170.43</v>
          </cell>
          <cell r="D150">
            <v>99.43</v>
          </cell>
          <cell r="E150">
            <v>114.37</v>
          </cell>
          <cell r="F150">
            <v>52.83</v>
          </cell>
        </row>
        <row r="151">
          <cell r="C151">
            <v>127.58</v>
          </cell>
          <cell r="D151">
            <v>107.38</v>
          </cell>
          <cell r="E151">
            <v>91.32</v>
          </cell>
          <cell r="F151">
            <v>38.78</v>
          </cell>
        </row>
        <row r="152">
          <cell r="C152">
            <v>88.94</v>
          </cell>
          <cell r="D152">
            <v>109.22</v>
          </cell>
          <cell r="E152">
            <v>67.209999999999994</v>
          </cell>
          <cell r="F152">
            <v>29.16</v>
          </cell>
        </row>
        <row r="153">
          <cell r="C153">
            <v>45.5</v>
          </cell>
          <cell r="D153">
            <v>66.52</v>
          </cell>
          <cell r="E153">
            <v>34.67</v>
          </cell>
          <cell r="F153">
            <v>17.93</v>
          </cell>
        </row>
        <row r="154">
          <cell r="C154">
            <v>33.869999999999997</v>
          </cell>
          <cell r="D154">
            <v>52.8</v>
          </cell>
          <cell r="E154">
            <v>25.53</v>
          </cell>
          <cell r="F154">
            <v>14.31</v>
          </cell>
        </row>
        <row r="155">
          <cell r="C155">
            <v>398</v>
          </cell>
          <cell r="D155">
            <v>455</v>
          </cell>
          <cell r="E155">
            <v>310</v>
          </cell>
          <cell r="F155">
            <v>145</v>
          </cell>
        </row>
        <row r="160">
          <cell r="D160">
            <v>1.4119999999999999</v>
          </cell>
        </row>
        <row r="161">
          <cell r="D161">
            <v>1.417</v>
          </cell>
        </row>
        <row r="162">
          <cell r="D162">
            <v>1.4159999999999999</v>
          </cell>
        </row>
        <row r="163">
          <cell r="D163">
            <v>1.423</v>
          </cell>
        </row>
        <row r="164">
          <cell r="D164">
            <v>1.4239999999999999</v>
          </cell>
        </row>
        <row r="165">
          <cell r="D165">
            <v>1.413</v>
          </cell>
        </row>
        <row r="166">
          <cell r="D166">
            <v>1.4259999999999999</v>
          </cell>
        </row>
        <row r="167">
          <cell r="D167">
            <v>1.399</v>
          </cell>
        </row>
        <row r="168">
          <cell r="D168">
            <v>1.4179999999999999</v>
          </cell>
        </row>
        <row r="169">
          <cell r="D169">
            <v>1.4159999999999999</v>
          </cell>
        </row>
        <row r="170">
          <cell r="D170">
            <v>1.4019999999999999</v>
          </cell>
        </row>
        <row r="171">
          <cell r="D171">
            <v>1.423</v>
          </cell>
        </row>
        <row r="172">
          <cell r="D172">
            <v>1.4590000000000001</v>
          </cell>
        </row>
        <row r="173">
          <cell r="D173">
            <v>1.411</v>
          </cell>
        </row>
        <row r="174">
          <cell r="D174">
            <v>1.415</v>
          </cell>
        </row>
        <row r="175">
          <cell r="D175">
            <v>1.4259999999999999</v>
          </cell>
        </row>
        <row r="176">
          <cell r="D176">
            <v>1.4830000000000001</v>
          </cell>
        </row>
        <row r="177">
          <cell r="D177">
            <v>1.4119999999999999</v>
          </cell>
        </row>
        <row r="178">
          <cell r="D178">
            <v>1.4079999999999999</v>
          </cell>
        </row>
        <row r="179">
          <cell r="D179">
            <v>1.472</v>
          </cell>
        </row>
        <row r="180">
          <cell r="D180">
            <v>1.4790000000000001</v>
          </cell>
        </row>
        <row r="181">
          <cell r="D181">
            <v>1.4690000000000001</v>
          </cell>
        </row>
        <row r="182">
          <cell r="D182">
            <v>1.4730000000000001</v>
          </cell>
        </row>
        <row r="183">
          <cell r="D183">
            <v>1.494</v>
          </cell>
        </row>
        <row r="184">
          <cell r="D184">
            <v>1.526</v>
          </cell>
        </row>
        <row r="189">
          <cell r="D189">
            <v>1.175</v>
          </cell>
        </row>
        <row r="190">
          <cell r="D190">
            <v>1.179</v>
          </cell>
        </row>
        <row r="191">
          <cell r="D191">
            <v>1.1779999999999999</v>
          </cell>
        </row>
        <row r="192">
          <cell r="D192">
            <v>1.1839999999999999</v>
          </cell>
        </row>
        <row r="193">
          <cell r="D193">
            <v>1.1850000000000001</v>
          </cell>
        </row>
        <row r="194">
          <cell r="D194">
            <v>1.177</v>
          </cell>
        </row>
        <row r="195">
          <cell r="D195">
            <v>1.1870000000000001</v>
          </cell>
        </row>
        <row r="196">
          <cell r="D196">
            <v>1.169</v>
          </cell>
        </row>
        <row r="197">
          <cell r="D197">
            <v>1.1859999999999999</v>
          </cell>
        </row>
        <row r="198">
          <cell r="D198">
            <v>1.1619999999999999</v>
          </cell>
        </row>
        <row r="199">
          <cell r="D199">
            <v>1.1779999999999999</v>
          </cell>
        </row>
        <row r="200">
          <cell r="D200">
            <v>1.1830000000000001</v>
          </cell>
        </row>
        <row r="201">
          <cell r="D201">
            <v>1.228</v>
          </cell>
        </row>
        <row r="202">
          <cell r="D202">
            <v>1.1779999999999999</v>
          </cell>
        </row>
        <row r="203">
          <cell r="D203">
            <v>1.1819999999999999</v>
          </cell>
        </row>
        <row r="204">
          <cell r="D204">
            <v>1.1870000000000001</v>
          </cell>
        </row>
        <row r="205">
          <cell r="D205">
            <v>1.2270000000000001</v>
          </cell>
        </row>
        <row r="206">
          <cell r="D206">
            <v>1.196</v>
          </cell>
        </row>
        <row r="207">
          <cell r="D207">
            <v>1.1879999999999999</v>
          </cell>
        </row>
        <row r="208">
          <cell r="D208">
            <v>1.224</v>
          </cell>
        </row>
        <row r="209">
          <cell r="D209">
            <v>1.2470000000000001</v>
          </cell>
        </row>
        <row r="210">
          <cell r="D210">
            <v>1.2310000000000001</v>
          </cell>
        </row>
        <row r="211">
          <cell r="D211">
            <v>1.22</v>
          </cell>
        </row>
        <row r="212">
          <cell r="D212">
            <v>1.248</v>
          </cell>
        </row>
        <row r="213">
          <cell r="D213">
            <v>1.268</v>
          </cell>
        </row>
        <row r="216">
          <cell r="C216" t="str">
            <v>ОПШТИНА</v>
          </cell>
          <cell r="D216" t="str">
            <v>надморска</v>
          </cell>
          <cell r="E216" t="str">
            <v>реф.место</v>
          </cell>
          <cell r="F216" t="str">
            <v>надморска</v>
          </cell>
          <cell r="G216" t="str">
            <v>HDD</v>
          </cell>
          <cell r="H216" t="str">
            <v>ОБЛАСТ-ОКРУГ</v>
          </cell>
        </row>
        <row r="217">
          <cell r="B217">
            <v>66</v>
          </cell>
          <cell r="C217" t="str">
            <v>Александровац</v>
          </cell>
          <cell r="D217">
            <v>370</v>
          </cell>
          <cell r="E217" t="str">
            <v>Крушевац</v>
          </cell>
          <cell r="F217">
            <v>163</v>
          </cell>
          <cell r="G217">
            <v>2588.6</v>
          </cell>
          <cell r="H217" t="str">
            <v>Расинска</v>
          </cell>
        </row>
        <row r="218">
          <cell r="B218">
            <v>18</v>
          </cell>
          <cell r="C218" t="str">
            <v>Алексинац</v>
          </cell>
          <cell r="D218">
            <v>168</v>
          </cell>
          <cell r="E218" t="str">
            <v>Ниш</v>
          </cell>
          <cell r="F218">
            <v>195</v>
          </cell>
          <cell r="G218">
            <v>2476.6999999999998</v>
          </cell>
          <cell r="H218" t="str">
            <v>Нишавска</v>
          </cell>
        </row>
        <row r="219">
          <cell r="B219">
            <v>80</v>
          </cell>
          <cell r="C219" t="str">
            <v>Алибунар</v>
          </cell>
          <cell r="D219">
            <v>71</v>
          </cell>
          <cell r="E219" t="str">
            <v>Банатски Карловац</v>
          </cell>
          <cell r="F219">
            <v>89</v>
          </cell>
          <cell r="G219">
            <v>2596.4</v>
          </cell>
          <cell r="H219" t="str">
            <v>Јужнобанатска</v>
          </cell>
        </row>
        <row r="220">
          <cell r="B220">
            <v>12</v>
          </cell>
          <cell r="C220" t="str">
            <v>Апатин</v>
          </cell>
          <cell r="D220">
            <v>82</v>
          </cell>
          <cell r="E220" t="str">
            <v>Сомбор</v>
          </cell>
          <cell r="F220">
            <v>90</v>
          </cell>
          <cell r="G220">
            <v>2686.2</v>
          </cell>
          <cell r="H220" t="str">
            <v>Западнобачка</v>
          </cell>
        </row>
        <row r="221">
          <cell r="B221">
            <v>72</v>
          </cell>
          <cell r="C221" t="str">
            <v>Аранђеловац</v>
          </cell>
          <cell r="D221">
            <v>257</v>
          </cell>
          <cell r="E221" t="str">
            <v>Смедеревска Паланка</v>
          </cell>
          <cell r="F221">
            <v>125</v>
          </cell>
          <cell r="G221">
            <v>2554.6</v>
          </cell>
          <cell r="H221" t="str">
            <v>Шумадијска</v>
          </cell>
        </row>
        <row r="222">
          <cell r="B222">
            <v>33</v>
          </cell>
          <cell r="C222" t="str">
            <v>Ариље</v>
          </cell>
          <cell r="D222">
            <v>350</v>
          </cell>
          <cell r="E222" t="str">
            <v>Пожега</v>
          </cell>
          <cell r="F222">
            <v>315</v>
          </cell>
          <cell r="G222">
            <v>3062</v>
          </cell>
          <cell r="H222" t="str">
            <v>Златиборска</v>
          </cell>
        </row>
        <row r="223">
          <cell r="B223">
            <v>20</v>
          </cell>
          <cell r="C223" t="str">
            <v>Бабушница</v>
          </cell>
          <cell r="D223">
            <v>470</v>
          </cell>
          <cell r="E223" t="str">
            <v>Пирот</v>
          </cell>
          <cell r="F223">
            <v>367</v>
          </cell>
          <cell r="G223">
            <v>2613.1</v>
          </cell>
          <cell r="H223" t="str">
            <v>Пиротска</v>
          </cell>
        </row>
        <row r="224">
          <cell r="B224">
            <v>123</v>
          </cell>
          <cell r="C224" t="str">
            <v>Бајина Башта</v>
          </cell>
          <cell r="D224">
            <v>257</v>
          </cell>
          <cell r="E224" t="str">
            <v>Љубовија</v>
          </cell>
          <cell r="F224">
            <v>174</v>
          </cell>
          <cell r="G224">
            <v>2627.9</v>
          </cell>
          <cell r="H224" t="str">
            <v>Златиборска</v>
          </cell>
        </row>
        <row r="225">
          <cell r="B225">
            <v>67</v>
          </cell>
          <cell r="C225" t="str">
            <v>Барајево</v>
          </cell>
          <cell r="D225">
            <v>260</v>
          </cell>
          <cell r="E225" t="str">
            <v>Београд</v>
          </cell>
          <cell r="F225">
            <v>117</v>
          </cell>
          <cell r="G225">
            <v>2299</v>
          </cell>
          <cell r="H225" t="str">
            <v>Београдски</v>
          </cell>
        </row>
        <row r="226">
          <cell r="B226">
            <v>107</v>
          </cell>
          <cell r="C226" t="str">
            <v>Баточина</v>
          </cell>
          <cell r="D226">
            <v>111</v>
          </cell>
          <cell r="E226" t="str">
            <v>Крагујевац</v>
          </cell>
          <cell r="F226">
            <v>173</v>
          </cell>
          <cell r="G226">
            <v>2530.9</v>
          </cell>
          <cell r="H226" t="str">
            <v>Шумадијска</v>
          </cell>
        </row>
        <row r="227">
          <cell r="B227">
            <v>127</v>
          </cell>
          <cell r="C227" t="str">
            <v>Бач</v>
          </cell>
          <cell r="D227">
            <v>83</v>
          </cell>
          <cell r="E227" t="str">
            <v>Нови Сад</v>
          </cell>
          <cell r="F227">
            <v>80</v>
          </cell>
          <cell r="G227">
            <v>2604.1999999999998</v>
          </cell>
          <cell r="H227" t="str">
            <v>Јужнобачка</v>
          </cell>
        </row>
        <row r="228">
          <cell r="B228">
            <v>19</v>
          </cell>
          <cell r="C228" t="str">
            <v>Бачка Топола</v>
          </cell>
          <cell r="D228">
            <v>102</v>
          </cell>
          <cell r="E228" t="str">
            <v>Сомбор</v>
          </cell>
          <cell r="F228">
            <v>90</v>
          </cell>
          <cell r="G228">
            <v>2686.2</v>
          </cell>
          <cell r="H228" t="str">
            <v>Севернобачка</v>
          </cell>
        </row>
        <row r="229">
          <cell r="B229">
            <v>4</v>
          </cell>
          <cell r="C229" t="str">
            <v>Бачки Петровац</v>
          </cell>
          <cell r="D229">
            <v>86</v>
          </cell>
          <cell r="E229" t="str">
            <v>Нови Сад</v>
          </cell>
          <cell r="F229">
            <v>80</v>
          </cell>
          <cell r="G229">
            <v>2604.1999999999998</v>
          </cell>
          <cell r="H229" t="str">
            <v>Јужнобачка</v>
          </cell>
        </row>
        <row r="230">
          <cell r="B230">
            <v>108</v>
          </cell>
          <cell r="C230" t="str">
            <v>Бела Паланка</v>
          </cell>
          <cell r="D230">
            <v>394</v>
          </cell>
          <cell r="E230" t="str">
            <v>Пирот</v>
          </cell>
          <cell r="F230">
            <v>367</v>
          </cell>
          <cell r="G230">
            <v>2613.1</v>
          </cell>
          <cell r="H230" t="str">
            <v>Пиротска</v>
          </cell>
        </row>
        <row r="231">
          <cell r="B231">
            <v>11</v>
          </cell>
          <cell r="C231" t="str">
            <v>Бела Црква</v>
          </cell>
          <cell r="D231">
            <v>78</v>
          </cell>
          <cell r="E231" t="str">
            <v>Вршац</v>
          </cell>
          <cell r="F231">
            <v>93</v>
          </cell>
          <cell r="G231">
            <v>2521</v>
          </cell>
          <cell r="H231" t="str">
            <v>Јужнобанатска</v>
          </cell>
        </row>
        <row r="232">
          <cell r="B232">
            <v>111</v>
          </cell>
          <cell r="C232" t="str">
            <v>Беочин</v>
          </cell>
          <cell r="D232">
            <v>88</v>
          </cell>
          <cell r="E232" t="str">
            <v>Нови Сад</v>
          </cell>
          <cell r="F232">
            <v>80</v>
          </cell>
          <cell r="G232">
            <v>2604.1999999999998</v>
          </cell>
          <cell r="H232" t="str">
            <v>Јужнобачка</v>
          </cell>
        </row>
        <row r="233">
          <cell r="B233">
            <v>110</v>
          </cell>
          <cell r="C233" t="str">
            <v>Бечеј</v>
          </cell>
          <cell r="D233">
            <v>82</v>
          </cell>
          <cell r="E233" t="str">
            <v>Нови Сад</v>
          </cell>
          <cell r="F233">
            <v>80</v>
          </cell>
          <cell r="G233">
            <v>2604.1999999999998</v>
          </cell>
          <cell r="H233" t="str">
            <v>Јужнобачка</v>
          </cell>
        </row>
        <row r="234">
          <cell r="B234">
            <v>53</v>
          </cell>
          <cell r="C234" t="str">
            <v>Блаце</v>
          </cell>
          <cell r="D234">
            <v>389</v>
          </cell>
          <cell r="E234" t="str">
            <v>Куршумлија</v>
          </cell>
          <cell r="F234">
            <v>366</v>
          </cell>
          <cell r="G234">
            <v>2823.3</v>
          </cell>
          <cell r="H234" t="str">
            <v>Топличка</v>
          </cell>
        </row>
        <row r="235">
          <cell r="B235">
            <v>115</v>
          </cell>
          <cell r="C235" t="str">
            <v>Богатић</v>
          </cell>
          <cell r="D235">
            <v>81</v>
          </cell>
          <cell r="E235" t="str">
            <v>Сремска Митровица</v>
          </cell>
          <cell r="F235">
            <v>82</v>
          </cell>
          <cell r="G235">
            <v>2628.9</v>
          </cell>
          <cell r="H235" t="str">
            <v>Мачванска</v>
          </cell>
        </row>
        <row r="236">
          <cell r="B236">
            <v>13</v>
          </cell>
          <cell r="C236" t="str">
            <v>Бојник</v>
          </cell>
          <cell r="D236">
            <v>242</v>
          </cell>
          <cell r="E236" t="str">
            <v>Лесковац</v>
          </cell>
          <cell r="F236">
            <v>228</v>
          </cell>
          <cell r="G236">
            <v>2681.2</v>
          </cell>
          <cell r="H236" t="str">
            <v>Јабланичка</v>
          </cell>
        </row>
        <row r="237">
          <cell r="B237">
            <v>94</v>
          </cell>
          <cell r="C237" t="str">
            <v>Бољевац</v>
          </cell>
          <cell r="D237">
            <v>263</v>
          </cell>
          <cell r="E237" t="str">
            <v>Зајечар</v>
          </cell>
          <cell r="F237">
            <v>134</v>
          </cell>
          <cell r="G237">
            <v>2792.3</v>
          </cell>
          <cell r="H237" t="str">
            <v>Зајечарска</v>
          </cell>
        </row>
        <row r="238">
          <cell r="B238">
            <v>89</v>
          </cell>
          <cell r="C238" t="str">
            <v>Бор</v>
          </cell>
          <cell r="D238">
            <v>381</v>
          </cell>
          <cell r="E238" t="str">
            <v>Зајечар</v>
          </cell>
          <cell r="F238">
            <v>134</v>
          </cell>
          <cell r="G238">
            <v>2792.3</v>
          </cell>
          <cell r="H238" t="str">
            <v>Борска</v>
          </cell>
        </row>
        <row r="239">
          <cell r="B239">
            <v>103</v>
          </cell>
          <cell r="C239" t="str">
            <v>Босилеград</v>
          </cell>
          <cell r="D239">
            <v>696</v>
          </cell>
          <cell r="E239" t="str">
            <v>Врање</v>
          </cell>
          <cell r="F239">
            <v>487</v>
          </cell>
          <cell r="G239">
            <v>2662.9</v>
          </cell>
          <cell r="H239" t="str">
            <v>Пчињска</v>
          </cell>
        </row>
        <row r="240">
          <cell r="B240">
            <v>60</v>
          </cell>
          <cell r="C240" t="str">
            <v>Брус</v>
          </cell>
          <cell r="D240">
            <v>436</v>
          </cell>
          <cell r="E240" t="str">
            <v>Јошаничка Бања</v>
          </cell>
          <cell r="F240">
            <v>555</v>
          </cell>
          <cell r="G240">
            <v>3008.5</v>
          </cell>
          <cell r="H240" t="str">
            <v>Расинска</v>
          </cell>
        </row>
        <row r="241">
          <cell r="B241">
            <v>128</v>
          </cell>
          <cell r="C241" t="str">
            <v>Бујановац</v>
          </cell>
          <cell r="D241">
            <v>384</v>
          </cell>
          <cell r="E241" t="str">
            <v>Врање</v>
          </cell>
          <cell r="F241">
            <v>487</v>
          </cell>
          <cell r="G241">
            <v>2662.9</v>
          </cell>
          <cell r="H241" t="str">
            <v>Пчињска</v>
          </cell>
        </row>
        <row r="242">
          <cell r="B242">
            <v>48</v>
          </cell>
          <cell r="C242" t="str">
            <v>Ваљево</v>
          </cell>
          <cell r="D242">
            <v>199</v>
          </cell>
          <cell r="E242" t="str">
            <v>Ваљево</v>
          </cell>
          <cell r="F242">
            <v>199</v>
          </cell>
          <cell r="G242">
            <v>2557.6</v>
          </cell>
          <cell r="H242" t="str">
            <v>Колубарска</v>
          </cell>
        </row>
        <row r="243">
          <cell r="B243">
            <v>112</v>
          </cell>
          <cell r="C243" t="str">
            <v>Варварин</v>
          </cell>
          <cell r="D243">
            <v>145</v>
          </cell>
          <cell r="E243" t="str">
            <v>Крагујевац</v>
          </cell>
          <cell r="F243">
            <v>173</v>
          </cell>
          <cell r="G243">
            <v>2530.9</v>
          </cell>
          <cell r="H243" t="str">
            <v>Расинска</v>
          </cell>
        </row>
        <row r="244">
          <cell r="B244">
            <v>101</v>
          </cell>
          <cell r="C244" t="str">
            <v>Велико Градиште</v>
          </cell>
          <cell r="D244">
            <v>72</v>
          </cell>
          <cell r="E244" t="str">
            <v>Велико Градиште</v>
          </cell>
          <cell r="F244">
            <v>72</v>
          </cell>
          <cell r="G244">
            <v>2629.5</v>
          </cell>
          <cell r="H244" t="str">
            <v>Браничевска</v>
          </cell>
        </row>
        <row r="245">
          <cell r="B245">
            <v>22</v>
          </cell>
          <cell r="C245" t="str">
            <v>Владимирци</v>
          </cell>
          <cell r="D245">
            <v>103</v>
          </cell>
          <cell r="E245" t="str">
            <v>Лозница</v>
          </cell>
          <cell r="F245">
            <v>121</v>
          </cell>
          <cell r="G245">
            <v>2478.6999999999998</v>
          </cell>
          <cell r="H245" t="str">
            <v>Мачванска</v>
          </cell>
        </row>
        <row r="246">
          <cell r="B246">
            <v>70</v>
          </cell>
          <cell r="C246" t="str">
            <v>Владичин Хан</v>
          </cell>
          <cell r="D246">
            <v>386</v>
          </cell>
          <cell r="E246" t="str">
            <v>Врање</v>
          </cell>
          <cell r="F246">
            <v>487</v>
          </cell>
          <cell r="G246">
            <v>2662.9</v>
          </cell>
          <cell r="H246" t="str">
            <v>Пчињска</v>
          </cell>
        </row>
        <row r="247">
          <cell r="B247">
            <v>56</v>
          </cell>
          <cell r="C247" t="str">
            <v>Власотинце</v>
          </cell>
          <cell r="D247">
            <v>234</v>
          </cell>
          <cell r="E247" t="str">
            <v>Лесковац</v>
          </cell>
          <cell r="F247">
            <v>228</v>
          </cell>
          <cell r="G247">
            <v>2681.2</v>
          </cell>
          <cell r="H247" t="str">
            <v>Јабланичка</v>
          </cell>
        </row>
        <row r="248">
          <cell r="B248">
            <v>106</v>
          </cell>
          <cell r="C248" t="str">
            <v>Вождовац</v>
          </cell>
          <cell r="D248">
            <v>250</v>
          </cell>
          <cell r="E248" t="str">
            <v>Београд</v>
          </cell>
          <cell r="F248">
            <v>117</v>
          </cell>
          <cell r="G248">
            <v>2299</v>
          </cell>
          <cell r="H248" t="str">
            <v>Београдски</v>
          </cell>
        </row>
        <row r="249">
          <cell r="B249">
            <v>109</v>
          </cell>
          <cell r="C249" t="str">
            <v>Врање</v>
          </cell>
          <cell r="D249">
            <v>487</v>
          </cell>
          <cell r="E249" t="str">
            <v>Врање</v>
          </cell>
          <cell r="F249">
            <v>487</v>
          </cell>
          <cell r="G249">
            <v>2662.9</v>
          </cell>
          <cell r="H249" t="str">
            <v>Пчињска</v>
          </cell>
        </row>
        <row r="250">
          <cell r="B250">
            <v>130</v>
          </cell>
          <cell r="C250" t="str">
            <v>Врбас</v>
          </cell>
          <cell r="D250">
            <v>85</v>
          </cell>
          <cell r="E250" t="str">
            <v>Нови Сад</v>
          </cell>
          <cell r="F250">
            <v>80</v>
          </cell>
          <cell r="G250">
            <v>2604.1999999999998</v>
          </cell>
          <cell r="H250" t="str">
            <v>Јужнобачка</v>
          </cell>
        </row>
        <row r="251">
          <cell r="B251">
            <v>57</v>
          </cell>
          <cell r="C251" t="str">
            <v>Врњачка Бања</v>
          </cell>
          <cell r="D251">
            <v>217</v>
          </cell>
          <cell r="E251" t="str">
            <v>Краљево</v>
          </cell>
          <cell r="F251">
            <v>192</v>
          </cell>
          <cell r="G251">
            <v>2579.4</v>
          </cell>
          <cell r="H251" t="str">
            <v>Рашка</v>
          </cell>
        </row>
        <row r="252">
          <cell r="B252">
            <v>85</v>
          </cell>
          <cell r="C252" t="str">
            <v>Вршац</v>
          </cell>
          <cell r="D252">
            <v>93</v>
          </cell>
          <cell r="E252" t="str">
            <v>Вршац</v>
          </cell>
          <cell r="F252">
            <v>93</v>
          </cell>
          <cell r="G252">
            <v>2521</v>
          </cell>
          <cell r="H252" t="str">
            <v>Јужнобанатска</v>
          </cell>
        </row>
        <row r="253">
          <cell r="B253">
            <v>40</v>
          </cell>
          <cell r="C253" t="str">
            <v>Голубац</v>
          </cell>
          <cell r="D253">
            <v>72</v>
          </cell>
          <cell r="E253" t="str">
            <v>Велико Градиште</v>
          </cell>
          <cell r="F253">
            <v>72</v>
          </cell>
          <cell r="G253">
            <v>2629.5</v>
          </cell>
          <cell r="H253" t="str">
            <v>Браничевска</v>
          </cell>
        </row>
        <row r="254">
          <cell r="B254">
            <v>34</v>
          </cell>
          <cell r="C254" t="str">
            <v>Горњи Милановац</v>
          </cell>
          <cell r="D254">
            <v>310</v>
          </cell>
          <cell r="E254" t="str">
            <v>Пожега</v>
          </cell>
          <cell r="F254">
            <v>315</v>
          </cell>
          <cell r="G254">
            <v>3062</v>
          </cell>
          <cell r="H254" t="str">
            <v>Моравичка</v>
          </cell>
        </row>
        <row r="255">
          <cell r="B255">
            <v>105</v>
          </cell>
          <cell r="C255" t="str">
            <v>Гроцка</v>
          </cell>
          <cell r="D255">
            <v>71</v>
          </cell>
          <cell r="E255" t="str">
            <v>Београд</v>
          </cell>
          <cell r="F255">
            <v>117</v>
          </cell>
          <cell r="G255">
            <v>2299</v>
          </cell>
          <cell r="H255" t="str">
            <v>Београдски</v>
          </cell>
        </row>
        <row r="256">
          <cell r="B256">
            <v>42</v>
          </cell>
          <cell r="C256" t="str">
            <v>Деспотовац</v>
          </cell>
          <cell r="D256">
            <v>189</v>
          </cell>
          <cell r="E256" t="str">
            <v>Ћуприја</v>
          </cell>
          <cell r="F256">
            <v>124</v>
          </cell>
          <cell r="G256">
            <v>2666.2</v>
          </cell>
          <cell r="H256" t="str">
            <v>Поморавска</v>
          </cell>
        </row>
        <row r="257">
          <cell r="B257">
            <v>2</v>
          </cell>
          <cell r="C257" t="str">
            <v>Димитровград</v>
          </cell>
          <cell r="D257">
            <v>463</v>
          </cell>
          <cell r="E257" t="str">
            <v>Димитровград</v>
          </cell>
          <cell r="F257">
            <v>463</v>
          </cell>
          <cell r="G257">
            <v>2957.7</v>
          </cell>
          <cell r="H257" t="str">
            <v>Пиротска</v>
          </cell>
        </row>
        <row r="258">
          <cell r="B258">
            <v>93</v>
          </cell>
          <cell r="C258" t="str">
            <v>Жабаљ</v>
          </cell>
          <cell r="D258">
            <v>72</v>
          </cell>
          <cell r="E258" t="str">
            <v>Нови Сад</v>
          </cell>
          <cell r="F258">
            <v>80</v>
          </cell>
          <cell r="G258">
            <v>2604.1999999999998</v>
          </cell>
          <cell r="H258" t="str">
            <v>Јужнобачка</v>
          </cell>
        </row>
        <row r="259">
          <cell r="B259">
            <v>55</v>
          </cell>
          <cell r="C259" t="str">
            <v>Жабари</v>
          </cell>
          <cell r="D259">
            <v>186</v>
          </cell>
          <cell r="E259" t="str">
            <v>Смедеревска Паланка</v>
          </cell>
          <cell r="F259">
            <v>125</v>
          </cell>
          <cell r="G259">
            <v>2554.6</v>
          </cell>
          <cell r="H259" t="str">
            <v>Браничевска</v>
          </cell>
        </row>
        <row r="260">
          <cell r="B260">
            <v>15</v>
          </cell>
          <cell r="C260" t="str">
            <v>Жагубица</v>
          </cell>
          <cell r="D260">
            <v>314</v>
          </cell>
          <cell r="E260" t="str">
            <v>Црни Врх</v>
          </cell>
          <cell r="F260">
            <v>1033</v>
          </cell>
          <cell r="G260">
            <v>4049</v>
          </cell>
          <cell r="H260" t="str">
            <v>Браничевска</v>
          </cell>
        </row>
        <row r="261">
          <cell r="B261">
            <v>41</v>
          </cell>
          <cell r="C261" t="str">
            <v>Житиште</v>
          </cell>
          <cell r="D261">
            <v>78</v>
          </cell>
          <cell r="E261" t="str">
            <v>Зрењанин</v>
          </cell>
          <cell r="F261">
            <v>76</v>
          </cell>
          <cell r="G261">
            <v>2589.6999999999998</v>
          </cell>
          <cell r="H261" t="str">
            <v>Средњeбанатска</v>
          </cell>
        </row>
        <row r="262">
          <cell r="B262">
            <v>113</v>
          </cell>
          <cell r="C262" t="str">
            <v>Зајечар</v>
          </cell>
          <cell r="D262">
            <v>134</v>
          </cell>
          <cell r="E262" t="str">
            <v>Зајечар</v>
          </cell>
          <cell r="F262">
            <v>134</v>
          </cell>
          <cell r="G262">
            <v>2792.3</v>
          </cell>
          <cell r="H262" t="str">
            <v>Зајечарска</v>
          </cell>
        </row>
        <row r="263">
          <cell r="B263">
            <v>69</v>
          </cell>
          <cell r="C263" t="str">
            <v>Звездара</v>
          </cell>
          <cell r="D263">
            <v>270</v>
          </cell>
          <cell r="E263" t="str">
            <v>Београд</v>
          </cell>
          <cell r="F263">
            <v>117</v>
          </cell>
          <cell r="G263">
            <v>2299</v>
          </cell>
          <cell r="H263" t="str">
            <v>Београдски</v>
          </cell>
        </row>
        <row r="264">
          <cell r="B264">
            <v>37</v>
          </cell>
          <cell r="C264" t="str">
            <v>Земун</v>
          </cell>
          <cell r="D264">
            <v>82</v>
          </cell>
          <cell r="E264" t="str">
            <v>Београд</v>
          </cell>
          <cell r="F264">
            <v>117</v>
          </cell>
          <cell r="G264">
            <v>2299</v>
          </cell>
          <cell r="H264" t="str">
            <v>Београдски</v>
          </cell>
        </row>
        <row r="265">
          <cell r="B265">
            <v>87</v>
          </cell>
          <cell r="C265" t="str">
            <v>Зрењанин</v>
          </cell>
          <cell r="D265">
            <v>76</v>
          </cell>
          <cell r="E265" t="str">
            <v>Зрењанин</v>
          </cell>
          <cell r="F265">
            <v>76</v>
          </cell>
          <cell r="G265">
            <v>2589.6999999999998</v>
          </cell>
          <cell r="H265" t="str">
            <v>Средњeбанатска</v>
          </cell>
        </row>
        <row r="266">
          <cell r="B266">
            <v>68</v>
          </cell>
          <cell r="C266" t="str">
            <v>Ивањица</v>
          </cell>
          <cell r="D266">
            <v>468</v>
          </cell>
          <cell r="E266" t="str">
            <v>Краљево</v>
          </cell>
          <cell r="F266">
            <v>192</v>
          </cell>
          <cell r="G266">
            <v>2579.4</v>
          </cell>
          <cell r="H266" t="str">
            <v>Моравичка</v>
          </cell>
        </row>
        <row r="267">
          <cell r="B267">
            <v>125</v>
          </cell>
          <cell r="C267" t="str">
            <v>Инђија</v>
          </cell>
          <cell r="D267">
            <v>116</v>
          </cell>
          <cell r="E267" t="str">
            <v>Нови Сад</v>
          </cell>
          <cell r="F267">
            <v>80</v>
          </cell>
          <cell r="G267">
            <v>2604.1999999999998</v>
          </cell>
          <cell r="H267" t="str">
            <v>Сремска</v>
          </cell>
        </row>
        <row r="268">
          <cell r="B268">
            <v>102</v>
          </cell>
          <cell r="C268" t="str">
            <v>Ириг</v>
          </cell>
          <cell r="D268">
            <v>190</v>
          </cell>
          <cell r="E268" t="str">
            <v>Сремска Митровица</v>
          </cell>
          <cell r="F268">
            <v>82</v>
          </cell>
          <cell r="G268">
            <v>2628.9</v>
          </cell>
          <cell r="H268" t="str">
            <v>Сремска</v>
          </cell>
        </row>
        <row r="269">
          <cell r="B269">
            <v>76</v>
          </cell>
          <cell r="C269" t="str">
            <v>Кањижа</v>
          </cell>
          <cell r="D269">
            <v>80</v>
          </cell>
          <cell r="E269" t="str">
            <v>Палић</v>
          </cell>
          <cell r="F269">
            <v>102</v>
          </cell>
          <cell r="G269">
            <v>2779.2</v>
          </cell>
          <cell r="H269" t="str">
            <v>Севернобанатска</v>
          </cell>
        </row>
        <row r="270">
          <cell r="B270">
            <v>100</v>
          </cell>
          <cell r="C270" t="str">
            <v>Кикинда</v>
          </cell>
          <cell r="D270">
            <v>78</v>
          </cell>
          <cell r="E270" t="str">
            <v>Кикинда</v>
          </cell>
          <cell r="F270">
            <v>78</v>
          </cell>
          <cell r="G270">
            <v>2644.2</v>
          </cell>
          <cell r="H270" t="str">
            <v>Севернобанатска</v>
          </cell>
        </row>
        <row r="271">
          <cell r="B271">
            <v>49</v>
          </cell>
          <cell r="C271" t="str">
            <v>Кнић</v>
          </cell>
          <cell r="D271">
            <v>320</v>
          </cell>
          <cell r="E271" t="str">
            <v>Крагујевац</v>
          </cell>
          <cell r="F271">
            <v>173</v>
          </cell>
          <cell r="G271">
            <v>2530.9</v>
          </cell>
          <cell r="H271" t="str">
            <v>Шумадијска</v>
          </cell>
        </row>
        <row r="272">
          <cell r="B272">
            <v>32</v>
          </cell>
          <cell r="C272" t="str">
            <v>Књажевац</v>
          </cell>
          <cell r="D272">
            <v>221</v>
          </cell>
          <cell r="E272" t="str">
            <v>Зајечар</v>
          </cell>
          <cell r="F272">
            <v>134</v>
          </cell>
          <cell r="G272">
            <v>2792.3</v>
          </cell>
          <cell r="H272" t="str">
            <v>Зајечарска</v>
          </cell>
        </row>
        <row r="273">
          <cell r="B273">
            <v>96</v>
          </cell>
          <cell r="C273" t="str">
            <v>Ковачица</v>
          </cell>
          <cell r="D273">
            <v>78</v>
          </cell>
          <cell r="E273" t="str">
            <v>Банатски Карловац</v>
          </cell>
          <cell r="F273">
            <v>89</v>
          </cell>
          <cell r="G273">
            <v>2596.4</v>
          </cell>
          <cell r="H273" t="str">
            <v>Јужнобанатска</v>
          </cell>
        </row>
        <row r="274">
          <cell r="B274">
            <v>39</v>
          </cell>
          <cell r="C274" t="str">
            <v>Ковин</v>
          </cell>
          <cell r="D274">
            <v>68</v>
          </cell>
          <cell r="E274" t="str">
            <v>Банатски Карловац</v>
          </cell>
          <cell r="F274">
            <v>89</v>
          </cell>
          <cell r="G274">
            <v>2596.4</v>
          </cell>
          <cell r="H274" t="str">
            <v>Јужнобанатска</v>
          </cell>
        </row>
        <row r="275">
          <cell r="B275">
            <v>28</v>
          </cell>
          <cell r="C275" t="str">
            <v>Косјерић</v>
          </cell>
          <cell r="D275">
            <v>415</v>
          </cell>
          <cell r="E275" t="str">
            <v>Пожега</v>
          </cell>
          <cell r="F275">
            <v>315</v>
          </cell>
          <cell r="G275">
            <v>3062</v>
          </cell>
          <cell r="H275" t="str">
            <v>Златиборска</v>
          </cell>
        </row>
        <row r="276">
          <cell r="B276">
            <v>129</v>
          </cell>
          <cell r="C276" t="str">
            <v>Коцељева</v>
          </cell>
          <cell r="D276">
            <v>126</v>
          </cell>
          <cell r="E276" t="str">
            <v>Ваљево</v>
          </cell>
          <cell r="F276">
            <v>199</v>
          </cell>
          <cell r="G276">
            <v>2557.6</v>
          </cell>
          <cell r="H276" t="str">
            <v>Мачванска</v>
          </cell>
        </row>
        <row r="277">
          <cell r="B277">
            <v>54</v>
          </cell>
          <cell r="C277" t="str">
            <v>Крагујевац</v>
          </cell>
          <cell r="D277">
            <v>173</v>
          </cell>
          <cell r="E277" t="str">
            <v>Крагујевац</v>
          </cell>
          <cell r="F277">
            <v>173</v>
          </cell>
          <cell r="G277">
            <v>2530.9</v>
          </cell>
          <cell r="H277" t="str">
            <v>Шумадијска</v>
          </cell>
        </row>
        <row r="278">
          <cell r="B278">
            <v>61</v>
          </cell>
          <cell r="C278" t="str">
            <v>Краљево</v>
          </cell>
          <cell r="D278">
            <v>192</v>
          </cell>
          <cell r="E278" t="str">
            <v>Краљево</v>
          </cell>
          <cell r="F278">
            <v>192</v>
          </cell>
          <cell r="G278">
            <v>2579.4</v>
          </cell>
          <cell r="H278" t="str">
            <v>Рашка</v>
          </cell>
        </row>
        <row r="279">
          <cell r="B279">
            <v>63</v>
          </cell>
          <cell r="C279" t="str">
            <v>Крушевац</v>
          </cell>
          <cell r="D279">
            <v>163</v>
          </cell>
          <cell r="E279" t="str">
            <v>Крушевац</v>
          </cell>
          <cell r="F279">
            <v>163</v>
          </cell>
          <cell r="G279">
            <v>2588.6</v>
          </cell>
          <cell r="H279" t="str">
            <v>Расинска</v>
          </cell>
        </row>
        <row r="280">
          <cell r="B280">
            <v>58</v>
          </cell>
          <cell r="C280" t="str">
            <v>Кула</v>
          </cell>
          <cell r="D280">
            <v>88</v>
          </cell>
          <cell r="E280" t="str">
            <v>Сомбор</v>
          </cell>
          <cell r="F280">
            <v>90</v>
          </cell>
          <cell r="G280">
            <v>2686.2</v>
          </cell>
          <cell r="H280" t="str">
            <v>Западнобачка</v>
          </cell>
        </row>
        <row r="281">
          <cell r="B281">
            <v>24</v>
          </cell>
          <cell r="C281" t="str">
            <v>Куршумлија</v>
          </cell>
          <cell r="D281">
            <v>366</v>
          </cell>
          <cell r="E281" t="str">
            <v>Куршумлија</v>
          </cell>
          <cell r="F281">
            <v>366</v>
          </cell>
          <cell r="G281">
            <v>2823.3</v>
          </cell>
          <cell r="H281" t="str">
            <v>Топличка</v>
          </cell>
        </row>
        <row r="282">
          <cell r="B282">
            <v>1</v>
          </cell>
          <cell r="C282" t="str">
            <v>Кучево</v>
          </cell>
          <cell r="D282">
            <v>162</v>
          </cell>
          <cell r="E282" t="str">
            <v>Велико Градиште</v>
          </cell>
          <cell r="F282">
            <v>72</v>
          </cell>
          <cell r="G282">
            <v>2629.5</v>
          </cell>
          <cell r="H282" t="str">
            <v>Браничевска</v>
          </cell>
        </row>
        <row r="283">
          <cell r="B283">
            <v>29</v>
          </cell>
          <cell r="C283" t="str">
            <v>Лазаревац</v>
          </cell>
          <cell r="D283">
            <v>161</v>
          </cell>
          <cell r="E283" t="str">
            <v>Београд</v>
          </cell>
          <cell r="F283">
            <v>117</v>
          </cell>
          <cell r="G283">
            <v>2299</v>
          </cell>
          <cell r="H283" t="str">
            <v>Београдски</v>
          </cell>
        </row>
        <row r="284">
          <cell r="B284">
            <v>43</v>
          </cell>
          <cell r="C284" t="str">
            <v>Лапово</v>
          </cell>
          <cell r="D284">
            <v>105</v>
          </cell>
          <cell r="E284" t="str">
            <v>Смедеревска Паланка</v>
          </cell>
          <cell r="F284">
            <v>125</v>
          </cell>
          <cell r="G284">
            <v>2554.6</v>
          </cell>
          <cell r="H284" t="str">
            <v>Шумадијска</v>
          </cell>
        </row>
        <row r="285">
          <cell r="B285">
            <v>71</v>
          </cell>
          <cell r="C285" t="str">
            <v>Лебане</v>
          </cell>
          <cell r="D285">
            <v>275</v>
          </cell>
          <cell r="E285" t="str">
            <v>Лесковац</v>
          </cell>
          <cell r="F285">
            <v>228</v>
          </cell>
          <cell r="G285">
            <v>2681.2</v>
          </cell>
          <cell r="H285" t="str">
            <v>Јабланичка</v>
          </cell>
        </row>
        <row r="286">
          <cell r="B286">
            <v>122</v>
          </cell>
          <cell r="C286" t="str">
            <v>Лесковац</v>
          </cell>
          <cell r="D286">
            <v>228</v>
          </cell>
          <cell r="E286" t="str">
            <v>Лесковац</v>
          </cell>
          <cell r="F286">
            <v>228</v>
          </cell>
          <cell r="G286">
            <v>2681.2</v>
          </cell>
          <cell r="H286" t="str">
            <v>Јабланичка</v>
          </cell>
        </row>
        <row r="287">
          <cell r="B287">
            <v>73</v>
          </cell>
          <cell r="C287" t="str">
            <v>Лозница</v>
          </cell>
          <cell r="D287">
            <v>121</v>
          </cell>
          <cell r="E287" t="str">
            <v>Лозница</v>
          </cell>
          <cell r="F287">
            <v>121</v>
          </cell>
          <cell r="G287">
            <v>2478.6999999999998</v>
          </cell>
          <cell r="H287" t="str">
            <v>Мачванска</v>
          </cell>
        </row>
        <row r="288">
          <cell r="B288">
            <v>59</v>
          </cell>
          <cell r="C288" t="str">
            <v>Лучани</v>
          </cell>
          <cell r="D288">
            <v>308</v>
          </cell>
          <cell r="E288" t="str">
            <v>Пожега</v>
          </cell>
          <cell r="F288">
            <v>315</v>
          </cell>
          <cell r="G288">
            <v>3062</v>
          </cell>
          <cell r="H288" t="str">
            <v>Моравичка</v>
          </cell>
        </row>
        <row r="289">
          <cell r="B289">
            <v>51</v>
          </cell>
          <cell r="C289" t="str">
            <v>Љубовија</v>
          </cell>
          <cell r="D289">
            <v>174</v>
          </cell>
          <cell r="E289" t="str">
            <v>Љубовија</v>
          </cell>
          <cell r="F289">
            <v>174</v>
          </cell>
          <cell r="G289">
            <v>2627.9</v>
          </cell>
          <cell r="H289" t="str">
            <v>Мачванска</v>
          </cell>
        </row>
        <row r="290">
          <cell r="B290">
            <v>118</v>
          </cell>
          <cell r="C290" t="str">
            <v>Мајданпек</v>
          </cell>
          <cell r="D290">
            <v>362</v>
          </cell>
          <cell r="E290" t="str">
            <v>Неготин</v>
          </cell>
          <cell r="F290">
            <v>46</v>
          </cell>
          <cell r="G290">
            <v>2567.9</v>
          </cell>
          <cell r="H290" t="str">
            <v>Борска</v>
          </cell>
        </row>
        <row r="291">
          <cell r="B291">
            <v>36</v>
          </cell>
          <cell r="C291" t="str">
            <v>Мали Зворник</v>
          </cell>
          <cell r="D291">
            <v>149</v>
          </cell>
          <cell r="E291" t="str">
            <v>Лозница</v>
          </cell>
          <cell r="F291">
            <v>121</v>
          </cell>
          <cell r="G291">
            <v>2478.6999999999998</v>
          </cell>
          <cell r="H291" t="str">
            <v>Мачванска</v>
          </cell>
        </row>
        <row r="292">
          <cell r="B292">
            <v>88</v>
          </cell>
          <cell r="C292" t="str">
            <v>Мали Иђош</v>
          </cell>
          <cell r="D292">
            <v>88</v>
          </cell>
          <cell r="E292" t="str">
            <v>Палић</v>
          </cell>
          <cell r="F292">
            <v>102</v>
          </cell>
          <cell r="G292">
            <v>2779.2</v>
          </cell>
          <cell r="H292" t="str">
            <v>Севернобачка</v>
          </cell>
        </row>
        <row r="293">
          <cell r="B293">
            <v>47</v>
          </cell>
          <cell r="C293" t="str">
            <v>Мало Црниће</v>
          </cell>
          <cell r="D293">
            <v>87</v>
          </cell>
          <cell r="E293" t="str">
            <v>Велико Градиште</v>
          </cell>
          <cell r="F293">
            <v>72</v>
          </cell>
          <cell r="G293">
            <v>2629.5</v>
          </cell>
          <cell r="H293" t="str">
            <v>Браничевска</v>
          </cell>
        </row>
        <row r="294">
          <cell r="B294">
            <v>64</v>
          </cell>
          <cell r="C294" t="str">
            <v>Мерошина</v>
          </cell>
          <cell r="D294">
            <v>244</v>
          </cell>
          <cell r="E294" t="str">
            <v>Ниш</v>
          </cell>
          <cell r="F294">
            <v>195</v>
          </cell>
          <cell r="G294">
            <v>2476.6999999999998</v>
          </cell>
          <cell r="H294" t="str">
            <v>Нишавска</v>
          </cell>
        </row>
        <row r="295">
          <cell r="B295">
            <v>95</v>
          </cell>
          <cell r="C295" t="str">
            <v>Младеновац</v>
          </cell>
          <cell r="D295">
            <v>138</v>
          </cell>
          <cell r="E295" t="str">
            <v>Смедеревска Паланка</v>
          </cell>
          <cell r="F295">
            <v>125</v>
          </cell>
          <cell r="G295">
            <v>2554.6</v>
          </cell>
          <cell r="H295" t="str">
            <v>Београдски</v>
          </cell>
        </row>
        <row r="296">
          <cell r="B296">
            <v>92</v>
          </cell>
          <cell r="C296" t="str">
            <v>Неготин</v>
          </cell>
          <cell r="D296">
            <v>46</v>
          </cell>
          <cell r="E296" t="str">
            <v>Неготин</v>
          </cell>
          <cell r="F296">
            <v>46</v>
          </cell>
          <cell r="G296">
            <v>2567.9</v>
          </cell>
          <cell r="H296" t="str">
            <v>Борска</v>
          </cell>
        </row>
        <row r="297">
          <cell r="B297">
            <v>27</v>
          </cell>
          <cell r="C297" t="str">
            <v>Ниш</v>
          </cell>
          <cell r="D297">
            <v>195</v>
          </cell>
          <cell r="E297" t="str">
            <v>Ниш</v>
          </cell>
          <cell r="F297">
            <v>195</v>
          </cell>
          <cell r="G297">
            <v>2476.6999999999998</v>
          </cell>
          <cell r="H297" t="str">
            <v>Нишавска</v>
          </cell>
        </row>
        <row r="298">
          <cell r="B298">
            <v>21</v>
          </cell>
          <cell r="C298" t="str">
            <v>Нова Варош</v>
          </cell>
          <cell r="D298">
            <v>1111</v>
          </cell>
          <cell r="E298" t="str">
            <v>Сјеница</v>
          </cell>
          <cell r="F298">
            <v>1038</v>
          </cell>
          <cell r="G298">
            <v>3956</v>
          </cell>
          <cell r="H298" t="str">
            <v>Златиборска</v>
          </cell>
        </row>
        <row r="299">
          <cell r="B299">
            <v>44</v>
          </cell>
          <cell r="C299" t="str">
            <v>Нова Црња</v>
          </cell>
          <cell r="D299">
            <v>77</v>
          </cell>
          <cell r="E299" t="str">
            <v>Кикинда</v>
          </cell>
          <cell r="F299">
            <v>78</v>
          </cell>
          <cell r="G299">
            <v>2644.2</v>
          </cell>
          <cell r="H299" t="str">
            <v>Средњeбанатска</v>
          </cell>
        </row>
        <row r="300">
          <cell r="B300">
            <v>46</v>
          </cell>
          <cell r="C300" t="str">
            <v>Нови Бечеј</v>
          </cell>
          <cell r="D300">
            <v>76</v>
          </cell>
          <cell r="E300" t="str">
            <v>Кикинда</v>
          </cell>
          <cell r="F300">
            <v>78</v>
          </cell>
          <cell r="G300">
            <v>2644.2</v>
          </cell>
          <cell r="H300" t="str">
            <v>Средњeбанатска</v>
          </cell>
        </row>
        <row r="301">
          <cell r="B301">
            <v>97</v>
          </cell>
          <cell r="C301" t="str">
            <v>Нови Кнежевац</v>
          </cell>
          <cell r="D301">
            <v>84</v>
          </cell>
          <cell r="E301" t="str">
            <v>Кикинда</v>
          </cell>
          <cell r="F301">
            <v>78</v>
          </cell>
          <cell r="G301">
            <v>2644.2</v>
          </cell>
          <cell r="H301" t="str">
            <v>Севернобанатска</v>
          </cell>
        </row>
        <row r="302">
          <cell r="B302">
            <v>99</v>
          </cell>
          <cell r="C302" t="str">
            <v>Нови Пазар</v>
          </cell>
          <cell r="D302">
            <v>477</v>
          </cell>
          <cell r="E302" t="str">
            <v>Јошаничка Бања</v>
          </cell>
          <cell r="F302">
            <v>555</v>
          </cell>
          <cell r="G302">
            <v>3008.5</v>
          </cell>
          <cell r="H302" t="str">
            <v>Рашка</v>
          </cell>
        </row>
        <row r="303">
          <cell r="B303">
            <v>75</v>
          </cell>
          <cell r="C303" t="str">
            <v>Нови Сад</v>
          </cell>
          <cell r="D303">
            <v>80</v>
          </cell>
          <cell r="E303" t="str">
            <v>Нови Сад</v>
          </cell>
          <cell r="F303">
            <v>80</v>
          </cell>
          <cell r="G303">
            <v>2604.1999999999998</v>
          </cell>
          <cell r="H303" t="str">
            <v>Јужнобачка</v>
          </cell>
        </row>
        <row r="304">
          <cell r="B304">
            <v>116</v>
          </cell>
          <cell r="C304" t="str">
            <v>Обреновац</v>
          </cell>
          <cell r="D304">
            <v>76</v>
          </cell>
          <cell r="E304" t="str">
            <v>Сурчин</v>
          </cell>
          <cell r="F304">
            <v>96</v>
          </cell>
          <cell r="G304">
            <v>2482.5</v>
          </cell>
          <cell r="H304" t="str">
            <v>Београдски</v>
          </cell>
        </row>
        <row r="305">
          <cell r="B305">
            <v>14</v>
          </cell>
          <cell r="C305" t="str">
            <v>Опово</v>
          </cell>
          <cell r="D305">
            <v>67</v>
          </cell>
          <cell r="E305" t="str">
            <v>Зрењанин</v>
          </cell>
          <cell r="F305">
            <v>76</v>
          </cell>
          <cell r="G305">
            <v>2589.6999999999998</v>
          </cell>
          <cell r="H305" t="str">
            <v>Јужнобанатска</v>
          </cell>
        </row>
        <row r="306">
          <cell r="B306">
            <v>5</v>
          </cell>
          <cell r="C306" t="str">
            <v>Оџаци</v>
          </cell>
          <cell r="D306">
            <v>87</v>
          </cell>
          <cell r="E306" t="str">
            <v>Сомбор</v>
          </cell>
          <cell r="F306">
            <v>90</v>
          </cell>
          <cell r="G306">
            <v>2686.2</v>
          </cell>
          <cell r="H306" t="str">
            <v>Западнобачка</v>
          </cell>
        </row>
        <row r="307">
          <cell r="B307">
            <v>131</v>
          </cell>
          <cell r="C307" t="str">
            <v>Палилула</v>
          </cell>
          <cell r="D307">
            <v>256</v>
          </cell>
          <cell r="E307" t="str">
            <v>Београд</v>
          </cell>
          <cell r="F307">
            <v>117</v>
          </cell>
          <cell r="G307">
            <v>2299</v>
          </cell>
          <cell r="H307" t="str">
            <v>Београдски</v>
          </cell>
        </row>
        <row r="308">
          <cell r="B308">
            <v>104</v>
          </cell>
          <cell r="C308" t="str">
            <v>Панчево</v>
          </cell>
          <cell r="D308">
            <v>77</v>
          </cell>
          <cell r="E308" t="str">
            <v>Банатски Карловац</v>
          </cell>
          <cell r="F308">
            <v>89</v>
          </cell>
          <cell r="G308">
            <v>2596.4</v>
          </cell>
          <cell r="H308" t="str">
            <v>Јужнобанатска</v>
          </cell>
        </row>
        <row r="309">
          <cell r="B309">
            <v>77</v>
          </cell>
          <cell r="C309" t="str">
            <v>Параћин</v>
          </cell>
          <cell r="D309">
            <v>132</v>
          </cell>
          <cell r="E309" t="str">
            <v>Ћуприја</v>
          </cell>
          <cell r="F309">
            <v>124</v>
          </cell>
          <cell r="G309">
            <v>2666.2</v>
          </cell>
          <cell r="H309" t="str">
            <v>Поморавска</v>
          </cell>
        </row>
        <row r="310">
          <cell r="B310">
            <v>31</v>
          </cell>
          <cell r="C310" t="str">
            <v>Петровац на Млави</v>
          </cell>
          <cell r="D310">
            <v>127</v>
          </cell>
          <cell r="E310" t="str">
            <v>Велико Градиште</v>
          </cell>
          <cell r="F310">
            <v>72</v>
          </cell>
          <cell r="G310">
            <v>2629.5</v>
          </cell>
          <cell r="H310" t="str">
            <v>Браничевска</v>
          </cell>
        </row>
        <row r="311">
          <cell r="B311">
            <v>62</v>
          </cell>
          <cell r="C311" t="str">
            <v>Пећинци</v>
          </cell>
          <cell r="D311">
            <v>83</v>
          </cell>
          <cell r="E311" t="str">
            <v>Сурчин</v>
          </cell>
          <cell r="F311">
            <v>96</v>
          </cell>
          <cell r="G311">
            <v>2482.5</v>
          </cell>
          <cell r="H311" t="str">
            <v>Сремска</v>
          </cell>
        </row>
        <row r="312">
          <cell r="B312">
            <v>78</v>
          </cell>
          <cell r="C312" t="str">
            <v>Пирот</v>
          </cell>
          <cell r="D312">
            <v>367</v>
          </cell>
          <cell r="E312" t="str">
            <v>Пирот</v>
          </cell>
          <cell r="F312">
            <v>367</v>
          </cell>
          <cell r="G312">
            <v>2613.1</v>
          </cell>
          <cell r="H312" t="str">
            <v>Пиротска</v>
          </cell>
        </row>
        <row r="313">
          <cell r="B313">
            <v>52</v>
          </cell>
          <cell r="C313" t="str">
            <v>Пландиште</v>
          </cell>
          <cell r="D313">
            <v>79</v>
          </cell>
          <cell r="E313" t="str">
            <v>Вршац</v>
          </cell>
          <cell r="F313">
            <v>93</v>
          </cell>
          <cell r="G313">
            <v>2521</v>
          </cell>
          <cell r="H313" t="str">
            <v>Јужнобанатска</v>
          </cell>
        </row>
        <row r="314">
          <cell r="B314">
            <v>65</v>
          </cell>
          <cell r="C314" t="str">
            <v>Пожаревац</v>
          </cell>
          <cell r="D314">
            <v>81</v>
          </cell>
          <cell r="E314" t="str">
            <v>Велико Градиште</v>
          </cell>
          <cell r="F314">
            <v>72</v>
          </cell>
          <cell r="G314">
            <v>2629.5</v>
          </cell>
          <cell r="H314" t="str">
            <v>Браничевска</v>
          </cell>
        </row>
        <row r="315">
          <cell r="B315">
            <v>25</v>
          </cell>
          <cell r="C315" t="str">
            <v>Пожега</v>
          </cell>
          <cell r="D315">
            <v>315</v>
          </cell>
          <cell r="E315" t="str">
            <v>Пожега</v>
          </cell>
          <cell r="F315">
            <v>315</v>
          </cell>
          <cell r="G315">
            <v>3062</v>
          </cell>
          <cell r="H315" t="str">
            <v>Златиборска</v>
          </cell>
        </row>
        <row r="316">
          <cell r="B316">
            <v>114</v>
          </cell>
          <cell r="C316" t="str">
            <v>Прешево</v>
          </cell>
          <cell r="D316">
            <v>463</v>
          </cell>
          <cell r="E316" t="str">
            <v>Врање</v>
          </cell>
          <cell r="F316">
            <v>487</v>
          </cell>
          <cell r="G316">
            <v>2662.9</v>
          </cell>
          <cell r="H316" t="str">
            <v>Пчињска</v>
          </cell>
        </row>
        <row r="317">
          <cell r="B317">
            <v>119</v>
          </cell>
          <cell r="C317" t="str">
            <v>Прибој</v>
          </cell>
          <cell r="D317">
            <v>882</v>
          </cell>
          <cell r="E317" t="str">
            <v>РЦ Ужице</v>
          </cell>
          <cell r="F317">
            <v>833</v>
          </cell>
          <cell r="G317">
            <v>3190.6</v>
          </cell>
          <cell r="H317" t="str">
            <v>Златиборска</v>
          </cell>
        </row>
        <row r="318">
          <cell r="B318">
            <v>79</v>
          </cell>
          <cell r="C318" t="str">
            <v>Пријепоље</v>
          </cell>
          <cell r="D318">
            <v>557</v>
          </cell>
          <cell r="E318" t="str">
            <v>РЦ Ужице</v>
          </cell>
          <cell r="F318">
            <v>833</v>
          </cell>
          <cell r="G318">
            <v>3190.6</v>
          </cell>
          <cell r="H318" t="str">
            <v>Златиборска</v>
          </cell>
        </row>
        <row r="319">
          <cell r="B319">
            <v>38</v>
          </cell>
          <cell r="C319" t="str">
            <v>Прокупље</v>
          </cell>
          <cell r="D319">
            <v>273</v>
          </cell>
          <cell r="E319" t="str">
            <v>Куршумлија</v>
          </cell>
          <cell r="F319">
            <v>366</v>
          </cell>
          <cell r="G319">
            <v>2823.3</v>
          </cell>
          <cell r="H319" t="str">
            <v>Топличка</v>
          </cell>
        </row>
        <row r="320">
          <cell r="B320">
            <v>98</v>
          </cell>
          <cell r="C320" t="str">
            <v>Раковица</v>
          </cell>
          <cell r="D320">
            <v>307</v>
          </cell>
          <cell r="E320" t="str">
            <v>Београд</v>
          </cell>
          <cell r="F320">
            <v>117</v>
          </cell>
          <cell r="G320">
            <v>2299</v>
          </cell>
          <cell r="H320" t="str">
            <v>Београдски</v>
          </cell>
        </row>
        <row r="321">
          <cell r="B321">
            <v>23</v>
          </cell>
          <cell r="C321" t="str">
            <v>Рача</v>
          </cell>
          <cell r="D321">
            <v>140</v>
          </cell>
          <cell r="E321" t="str">
            <v>Крагујевац</v>
          </cell>
          <cell r="F321">
            <v>173</v>
          </cell>
          <cell r="G321">
            <v>2530.9</v>
          </cell>
          <cell r="H321" t="str">
            <v>Шумадијска</v>
          </cell>
        </row>
        <row r="322">
          <cell r="B322">
            <v>117</v>
          </cell>
          <cell r="C322" t="str">
            <v>Рашка</v>
          </cell>
          <cell r="D322">
            <v>497</v>
          </cell>
          <cell r="E322" t="str">
            <v>Јошаничка Бања</v>
          </cell>
          <cell r="F322">
            <v>555</v>
          </cell>
          <cell r="G322">
            <v>3008.5</v>
          </cell>
          <cell r="H322" t="str">
            <v>Рашка</v>
          </cell>
        </row>
        <row r="323">
          <cell r="B323">
            <v>6</v>
          </cell>
          <cell r="C323" t="str">
            <v>Савски Венац</v>
          </cell>
          <cell r="D323">
            <v>161</v>
          </cell>
          <cell r="E323" t="str">
            <v>Београд</v>
          </cell>
          <cell r="F323">
            <v>117</v>
          </cell>
          <cell r="G323">
            <v>2299</v>
          </cell>
          <cell r="H323" t="str">
            <v>Београдски</v>
          </cell>
        </row>
        <row r="324">
          <cell r="B324">
            <v>126</v>
          </cell>
          <cell r="C324" t="str">
            <v>Свилајнац</v>
          </cell>
          <cell r="D324">
            <v>100</v>
          </cell>
          <cell r="E324" t="str">
            <v>Ћуприја</v>
          </cell>
          <cell r="F324">
            <v>124</v>
          </cell>
          <cell r="G324">
            <v>2666.2</v>
          </cell>
          <cell r="H324" t="str">
            <v>Поморавска</v>
          </cell>
        </row>
        <row r="325">
          <cell r="B325">
            <v>26</v>
          </cell>
          <cell r="C325" t="str">
            <v>Сента</v>
          </cell>
          <cell r="D325">
            <v>81</v>
          </cell>
          <cell r="E325" t="str">
            <v>Палић</v>
          </cell>
          <cell r="F325">
            <v>102</v>
          </cell>
          <cell r="G325">
            <v>2779.2</v>
          </cell>
          <cell r="H325" t="str">
            <v>Севернобанатска</v>
          </cell>
        </row>
        <row r="326">
          <cell r="B326">
            <v>9</v>
          </cell>
          <cell r="C326" t="str">
            <v>Сечањ</v>
          </cell>
          <cell r="D326">
            <v>77</v>
          </cell>
          <cell r="E326" t="str">
            <v>Зрењанин</v>
          </cell>
          <cell r="F326">
            <v>76</v>
          </cell>
          <cell r="G326">
            <v>2589.6999999999998</v>
          </cell>
          <cell r="H326" t="str">
            <v>Средњeбанатска</v>
          </cell>
        </row>
        <row r="327">
          <cell r="B327">
            <v>30</v>
          </cell>
          <cell r="C327" t="str">
            <v>Смедерево</v>
          </cell>
          <cell r="D327">
            <v>72</v>
          </cell>
          <cell r="E327" t="str">
            <v>Смедеревска Паланка</v>
          </cell>
          <cell r="F327">
            <v>125</v>
          </cell>
          <cell r="G327">
            <v>2554.6</v>
          </cell>
          <cell r="H327" t="str">
            <v>Подунавска</v>
          </cell>
        </row>
        <row r="328">
          <cell r="B328">
            <v>7</v>
          </cell>
          <cell r="C328" t="str">
            <v>Смедеревска Паланка</v>
          </cell>
          <cell r="D328">
            <v>125</v>
          </cell>
          <cell r="E328" t="str">
            <v>Смедеревска Паланка</v>
          </cell>
          <cell r="F328">
            <v>125</v>
          </cell>
          <cell r="G328">
            <v>2554.6</v>
          </cell>
          <cell r="H328" t="str">
            <v>Подунавска</v>
          </cell>
        </row>
        <row r="329">
          <cell r="B329">
            <v>17</v>
          </cell>
          <cell r="C329" t="str">
            <v>Сокобања</v>
          </cell>
          <cell r="D329">
            <v>369</v>
          </cell>
          <cell r="E329" t="str">
            <v>Ниш</v>
          </cell>
          <cell r="F329">
            <v>195</v>
          </cell>
          <cell r="G329">
            <v>2476.6999999999998</v>
          </cell>
          <cell r="H329" t="str">
            <v>Зајечарска</v>
          </cell>
        </row>
        <row r="330">
          <cell r="B330">
            <v>83</v>
          </cell>
          <cell r="C330" t="str">
            <v>Сомбор</v>
          </cell>
          <cell r="D330">
            <v>90</v>
          </cell>
          <cell r="E330" t="str">
            <v>Сомбор</v>
          </cell>
          <cell r="F330">
            <v>90</v>
          </cell>
          <cell r="G330">
            <v>2686.2</v>
          </cell>
          <cell r="H330" t="str">
            <v>Западнобачка</v>
          </cell>
        </row>
        <row r="331">
          <cell r="B331">
            <v>90</v>
          </cell>
          <cell r="C331" t="str">
            <v>Србобран</v>
          </cell>
          <cell r="D331">
            <v>82</v>
          </cell>
          <cell r="E331" t="str">
            <v>Нови Сад</v>
          </cell>
          <cell r="F331">
            <v>80</v>
          </cell>
          <cell r="G331">
            <v>2604.1999999999998</v>
          </cell>
          <cell r="H331" t="str">
            <v>Јужнобачка</v>
          </cell>
        </row>
        <row r="332">
          <cell r="B332">
            <v>91</v>
          </cell>
          <cell r="C332" t="str">
            <v>Сремска Митровица</v>
          </cell>
          <cell r="D332">
            <v>82</v>
          </cell>
          <cell r="E332" t="str">
            <v>Сремска Митровица</v>
          </cell>
          <cell r="F332">
            <v>82</v>
          </cell>
          <cell r="G332">
            <v>2628.9</v>
          </cell>
          <cell r="H332" t="str">
            <v>Сремска</v>
          </cell>
        </row>
        <row r="333">
          <cell r="B333">
            <v>124</v>
          </cell>
          <cell r="C333" t="str">
            <v>Сремски Карловци</v>
          </cell>
          <cell r="D333">
            <v>87</v>
          </cell>
          <cell r="E333" t="str">
            <v>Нови Сад</v>
          </cell>
          <cell r="F333">
            <v>80</v>
          </cell>
          <cell r="G333">
            <v>2604.1999999999998</v>
          </cell>
          <cell r="H333" t="str">
            <v>Јужнобачка</v>
          </cell>
        </row>
        <row r="334">
          <cell r="B334">
            <v>10</v>
          </cell>
          <cell r="C334" t="str">
            <v>Стара Пазова</v>
          </cell>
          <cell r="D334">
            <v>82</v>
          </cell>
          <cell r="E334" t="str">
            <v>Сурчин</v>
          </cell>
          <cell r="F334">
            <v>96</v>
          </cell>
          <cell r="G334">
            <v>2482.5</v>
          </cell>
          <cell r="H334" t="str">
            <v>Сремска</v>
          </cell>
        </row>
        <row r="335">
          <cell r="B335">
            <v>74</v>
          </cell>
          <cell r="C335" t="str">
            <v>Суботица</v>
          </cell>
          <cell r="D335">
            <v>109</v>
          </cell>
          <cell r="E335" t="str">
            <v>Палић</v>
          </cell>
          <cell r="F335">
            <v>102</v>
          </cell>
          <cell r="G335">
            <v>2779.2</v>
          </cell>
          <cell r="H335" t="str">
            <v>Севернобачка</v>
          </cell>
        </row>
        <row r="336">
          <cell r="B336">
            <v>121</v>
          </cell>
          <cell r="C336" t="str">
            <v>Темерин</v>
          </cell>
          <cell r="D336">
            <v>83</v>
          </cell>
          <cell r="E336" t="str">
            <v>Нови Сад</v>
          </cell>
          <cell r="F336">
            <v>80</v>
          </cell>
          <cell r="G336">
            <v>2604.1999999999998</v>
          </cell>
          <cell r="H336" t="str">
            <v>Јужнобачка</v>
          </cell>
        </row>
        <row r="337">
          <cell r="B337">
            <v>35</v>
          </cell>
          <cell r="C337" t="str">
            <v>Тител</v>
          </cell>
          <cell r="D337">
            <v>79</v>
          </cell>
          <cell r="E337" t="str">
            <v>Зрењанин</v>
          </cell>
          <cell r="F337">
            <v>76</v>
          </cell>
          <cell r="G337">
            <v>2589.6999999999998</v>
          </cell>
          <cell r="H337" t="str">
            <v>Јужнобачка</v>
          </cell>
        </row>
        <row r="338">
          <cell r="B338">
            <v>16</v>
          </cell>
          <cell r="C338" t="str">
            <v>Топола</v>
          </cell>
          <cell r="D338">
            <v>272</v>
          </cell>
          <cell r="E338" t="str">
            <v>Смедеревска Паланка</v>
          </cell>
          <cell r="F338">
            <v>125</v>
          </cell>
          <cell r="G338">
            <v>2554.6</v>
          </cell>
          <cell r="H338" t="str">
            <v>Шумадијска</v>
          </cell>
        </row>
        <row r="339">
          <cell r="B339">
            <v>8</v>
          </cell>
          <cell r="C339" t="str">
            <v>Трговиште</v>
          </cell>
          <cell r="D339">
            <v>805</v>
          </cell>
          <cell r="E339" t="str">
            <v>Врање</v>
          </cell>
          <cell r="F339">
            <v>487</v>
          </cell>
          <cell r="G339">
            <v>2662.9</v>
          </cell>
          <cell r="H339" t="str">
            <v>Пчињска</v>
          </cell>
        </row>
        <row r="340">
          <cell r="B340">
            <v>86</v>
          </cell>
          <cell r="C340" t="str">
            <v>Трстеник</v>
          </cell>
          <cell r="D340">
            <v>172</v>
          </cell>
          <cell r="E340" t="str">
            <v>Крушевац</v>
          </cell>
          <cell r="F340">
            <v>163</v>
          </cell>
          <cell r="G340">
            <v>2588.6</v>
          </cell>
          <cell r="H340" t="str">
            <v>Расинска</v>
          </cell>
        </row>
        <row r="341">
          <cell r="B341">
            <v>120</v>
          </cell>
          <cell r="C341" t="str">
            <v>Тутин</v>
          </cell>
          <cell r="D341">
            <v>867</v>
          </cell>
          <cell r="E341" t="str">
            <v>Сјеница</v>
          </cell>
          <cell r="F341">
            <v>1038</v>
          </cell>
          <cell r="G341">
            <v>3956</v>
          </cell>
          <cell r="H341" t="str">
            <v>Рашка</v>
          </cell>
        </row>
        <row r="342">
          <cell r="B342">
            <v>3</v>
          </cell>
          <cell r="C342" t="str">
            <v>Ћуприја</v>
          </cell>
          <cell r="D342">
            <v>124</v>
          </cell>
          <cell r="E342" t="str">
            <v>Ћуприја</v>
          </cell>
          <cell r="F342">
            <v>124</v>
          </cell>
          <cell r="G342">
            <v>2666.2</v>
          </cell>
          <cell r="H342" t="str">
            <v>Поморавска</v>
          </cell>
        </row>
        <row r="343">
          <cell r="B343">
            <v>45</v>
          </cell>
          <cell r="C343" t="str">
            <v>Ужице</v>
          </cell>
          <cell r="D343">
            <v>411</v>
          </cell>
          <cell r="E343" t="str">
            <v>Пожега</v>
          </cell>
          <cell r="F343">
            <v>315</v>
          </cell>
          <cell r="G343">
            <v>3062</v>
          </cell>
          <cell r="H343" t="str">
            <v>Златиборска</v>
          </cell>
        </row>
        <row r="344">
          <cell r="B344">
            <v>82</v>
          </cell>
          <cell r="C344" t="str">
            <v>Чајетина</v>
          </cell>
          <cell r="D344">
            <v>843</v>
          </cell>
          <cell r="E344" t="str">
            <v>Златибор</v>
          </cell>
          <cell r="F344">
            <v>1028</v>
          </cell>
          <cell r="G344">
            <v>3633.9</v>
          </cell>
          <cell r="H344" t="str">
            <v>Златиборска</v>
          </cell>
        </row>
        <row r="345">
          <cell r="B345">
            <v>81</v>
          </cell>
          <cell r="C345" t="str">
            <v>Чачак</v>
          </cell>
          <cell r="D345">
            <v>242</v>
          </cell>
          <cell r="E345" t="str">
            <v>Пожега</v>
          </cell>
          <cell r="F345">
            <v>315</v>
          </cell>
          <cell r="G345">
            <v>3062</v>
          </cell>
          <cell r="H345" t="str">
            <v>Моравичка</v>
          </cell>
        </row>
        <row r="346">
          <cell r="B346">
            <v>84</v>
          </cell>
          <cell r="C346" t="str">
            <v>Шабац</v>
          </cell>
          <cell r="D346">
            <v>83</v>
          </cell>
          <cell r="E346" t="str">
            <v>Лозница</v>
          </cell>
          <cell r="F346">
            <v>121</v>
          </cell>
          <cell r="G346">
            <v>2478.6999999999998</v>
          </cell>
          <cell r="H346" t="str">
            <v>Мачванска</v>
          </cell>
        </row>
        <row r="347">
          <cell r="B347">
            <v>50</v>
          </cell>
          <cell r="C347" t="str">
            <v>Шид</v>
          </cell>
          <cell r="D347">
            <v>98</v>
          </cell>
          <cell r="E347" t="str">
            <v>Сремска Митровица</v>
          </cell>
          <cell r="F347">
            <v>82</v>
          </cell>
          <cell r="G347">
            <v>2628.9</v>
          </cell>
          <cell r="H347" t="str">
            <v>Сремска</v>
          </cell>
        </row>
        <row r="351">
          <cell r="B351">
            <v>1</v>
          </cell>
          <cell r="C351" t="str">
            <v>Банатски Карловац</v>
          </cell>
          <cell r="D351">
            <v>21.027799999999999</v>
          </cell>
          <cell r="E351">
            <v>45.0501</v>
          </cell>
          <cell r="F351">
            <v>89</v>
          </cell>
          <cell r="G351">
            <v>2596.4</v>
          </cell>
        </row>
        <row r="352">
          <cell r="B352">
            <v>2</v>
          </cell>
          <cell r="C352" t="str">
            <v>Београд</v>
          </cell>
          <cell r="D352">
            <v>20.466799999999999</v>
          </cell>
          <cell r="E352">
            <v>44.796399999999998</v>
          </cell>
          <cell r="F352">
            <v>132</v>
          </cell>
          <cell r="G352">
            <v>2299</v>
          </cell>
        </row>
        <row r="353">
          <cell r="B353">
            <v>3</v>
          </cell>
          <cell r="C353" t="str">
            <v>Велико Градиште</v>
          </cell>
          <cell r="D353">
            <v>21.5108</v>
          </cell>
          <cell r="E353">
            <v>44.746400000000001</v>
          </cell>
          <cell r="F353">
            <v>82</v>
          </cell>
          <cell r="G353">
            <v>2629.5</v>
          </cell>
        </row>
        <row r="354">
          <cell r="B354">
            <v>4</v>
          </cell>
          <cell r="C354" t="str">
            <v>Ваљево</v>
          </cell>
          <cell r="D354">
            <v>19.910599999999999</v>
          </cell>
          <cell r="E354">
            <v>44.279800000000002</v>
          </cell>
          <cell r="F354">
            <v>176</v>
          </cell>
          <cell r="G354">
            <v>2557.6</v>
          </cell>
        </row>
        <row r="355">
          <cell r="B355">
            <v>5</v>
          </cell>
          <cell r="C355" t="str">
            <v>Врање</v>
          </cell>
          <cell r="D355">
            <v>21.916899999999998</v>
          </cell>
          <cell r="E355">
            <v>42.55</v>
          </cell>
          <cell r="F355">
            <v>432</v>
          </cell>
          <cell r="G355">
            <v>2662.9</v>
          </cell>
        </row>
        <row r="356">
          <cell r="B356">
            <v>6</v>
          </cell>
          <cell r="C356" t="str">
            <v>Димитровград</v>
          </cell>
          <cell r="D356">
            <v>22.789100000000001</v>
          </cell>
          <cell r="E356">
            <v>43.013199999999998</v>
          </cell>
          <cell r="F356">
            <v>450</v>
          </cell>
          <cell r="G356">
            <v>2957.7</v>
          </cell>
        </row>
        <row r="357">
          <cell r="B357">
            <v>7</v>
          </cell>
          <cell r="C357" t="str">
            <v>Зајечар</v>
          </cell>
          <cell r="D357">
            <v>22.292400000000001</v>
          </cell>
          <cell r="E357">
            <v>43.879899999999999</v>
          </cell>
          <cell r="F357">
            <v>144</v>
          </cell>
          <cell r="G357">
            <v>2792.3</v>
          </cell>
        </row>
        <row r="358">
          <cell r="B358">
            <v>8</v>
          </cell>
          <cell r="C358" t="str">
            <v>Златибор</v>
          </cell>
          <cell r="D358">
            <v>19.716699999999999</v>
          </cell>
          <cell r="E358">
            <v>43.7333</v>
          </cell>
          <cell r="F358">
            <v>1028</v>
          </cell>
          <cell r="G358">
            <v>3633.9</v>
          </cell>
        </row>
        <row r="359">
          <cell r="B359">
            <v>9</v>
          </cell>
          <cell r="C359" t="str">
            <v>Зрењанин</v>
          </cell>
          <cell r="D359">
            <v>20.357600000000001</v>
          </cell>
          <cell r="E359">
            <v>45.396299999999997</v>
          </cell>
          <cell r="F359">
            <v>80</v>
          </cell>
          <cell r="G359">
            <v>2589.6999999999998</v>
          </cell>
        </row>
        <row r="360">
          <cell r="B360">
            <v>10</v>
          </cell>
          <cell r="C360" t="str">
            <v>Кикинда</v>
          </cell>
          <cell r="D360">
            <v>20.476500000000001</v>
          </cell>
          <cell r="E360">
            <v>45.846299999999999</v>
          </cell>
          <cell r="F360">
            <v>81</v>
          </cell>
          <cell r="G360">
            <v>2644.2</v>
          </cell>
        </row>
        <row r="361">
          <cell r="B361">
            <v>11</v>
          </cell>
          <cell r="C361" t="str">
            <v>Копаоник</v>
          </cell>
          <cell r="D361">
            <v>20.8</v>
          </cell>
          <cell r="E361">
            <v>43.283000000000001</v>
          </cell>
          <cell r="F361">
            <v>1710</v>
          </cell>
          <cell r="G361">
            <v>5143.7</v>
          </cell>
        </row>
        <row r="362">
          <cell r="B362">
            <v>12</v>
          </cell>
          <cell r="C362" t="str">
            <v>Крагујевац</v>
          </cell>
          <cell r="D362">
            <v>20.9297</v>
          </cell>
          <cell r="E362">
            <v>44.029800000000002</v>
          </cell>
          <cell r="F362">
            <v>185</v>
          </cell>
          <cell r="G362">
            <v>2530.9</v>
          </cell>
        </row>
        <row r="363">
          <cell r="B363">
            <v>13</v>
          </cell>
          <cell r="C363" t="str">
            <v>Краљево</v>
          </cell>
          <cell r="D363">
            <v>20.693200000000001</v>
          </cell>
          <cell r="E363">
            <v>43.713200000000001</v>
          </cell>
          <cell r="F363">
            <v>215</v>
          </cell>
          <cell r="G363">
            <v>2579.4</v>
          </cell>
        </row>
        <row r="364">
          <cell r="B364">
            <v>14</v>
          </cell>
          <cell r="C364" t="str">
            <v>Крушевац</v>
          </cell>
          <cell r="D364">
            <v>21.3521</v>
          </cell>
          <cell r="E364">
            <v>43.563200000000002</v>
          </cell>
          <cell r="F364">
            <v>166</v>
          </cell>
          <cell r="G364">
            <v>2588.6</v>
          </cell>
        </row>
        <row r="365">
          <cell r="B365">
            <v>15</v>
          </cell>
          <cell r="C365" t="str">
            <v>Куршумлија</v>
          </cell>
          <cell r="D365">
            <v>21.266999999999999</v>
          </cell>
          <cell r="E365">
            <v>43.133000000000003</v>
          </cell>
          <cell r="F365">
            <v>380</v>
          </cell>
          <cell r="G365">
            <v>2823.3</v>
          </cell>
        </row>
        <row r="366">
          <cell r="B366">
            <v>16</v>
          </cell>
          <cell r="C366" t="str">
            <v>Лесковац</v>
          </cell>
          <cell r="D366">
            <v>21.970300000000002</v>
          </cell>
          <cell r="E366">
            <v>42.979900000000001</v>
          </cell>
          <cell r="F366">
            <v>230</v>
          </cell>
          <cell r="G366">
            <v>2681.2</v>
          </cell>
        </row>
        <row r="367">
          <cell r="B367">
            <v>17</v>
          </cell>
          <cell r="C367" t="str">
            <v>Лозница</v>
          </cell>
          <cell r="D367">
            <v>19.2333</v>
          </cell>
          <cell r="E367">
            <v>44.55</v>
          </cell>
          <cell r="F367">
            <v>121</v>
          </cell>
          <cell r="G367">
            <v>2478.6999999999998</v>
          </cell>
        </row>
        <row r="368">
          <cell r="B368">
            <v>18</v>
          </cell>
          <cell r="C368" t="str">
            <v>Неготин</v>
          </cell>
          <cell r="D368">
            <v>22.552499999999998</v>
          </cell>
          <cell r="E368">
            <v>44.229799999999997</v>
          </cell>
          <cell r="F368">
            <v>42</v>
          </cell>
          <cell r="G368">
            <v>2567.9</v>
          </cell>
        </row>
        <row r="369">
          <cell r="B369">
            <v>19</v>
          </cell>
          <cell r="C369" t="str">
            <v>Ниш</v>
          </cell>
          <cell r="D369">
            <v>21.913799999999998</v>
          </cell>
          <cell r="E369">
            <v>43.329799999999999</v>
          </cell>
          <cell r="F369">
            <v>201</v>
          </cell>
          <cell r="G369">
            <v>2476.6999999999998</v>
          </cell>
        </row>
        <row r="370">
          <cell r="B370">
            <v>20</v>
          </cell>
          <cell r="C370" t="str">
            <v>Нови Сад</v>
          </cell>
          <cell r="D370">
            <v>19.8644</v>
          </cell>
          <cell r="E370">
            <v>45.329700000000003</v>
          </cell>
          <cell r="F370">
            <v>84</v>
          </cell>
          <cell r="G370">
            <v>2604.1999999999998</v>
          </cell>
        </row>
        <row r="371">
          <cell r="B371">
            <v>21</v>
          </cell>
          <cell r="C371" t="str">
            <v>Палић</v>
          </cell>
          <cell r="D371">
            <v>19.7667</v>
          </cell>
          <cell r="E371">
            <v>46.1</v>
          </cell>
          <cell r="F371">
            <v>102</v>
          </cell>
          <cell r="G371">
            <v>2779.2</v>
          </cell>
        </row>
        <row r="372">
          <cell r="B372">
            <v>22</v>
          </cell>
          <cell r="C372" t="str">
            <v>Пожега</v>
          </cell>
          <cell r="D372">
            <v>20.020099999999999</v>
          </cell>
          <cell r="E372">
            <v>43.829799999999999</v>
          </cell>
          <cell r="F372">
            <v>310</v>
          </cell>
          <cell r="G372">
            <v>3062</v>
          </cell>
        </row>
        <row r="373">
          <cell r="B373">
            <v>23</v>
          </cell>
          <cell r="C373" t="str">
            <v>Сремска Митровица</v>
          </cell>
          <cell r="D373">
            <v>19.633299999999998</v>
          </cell>
          <cell r="E373">
            <v>44.966700000000003</v>
          </cell>
          <cell r="F373">
            <v>81</v>
          </cell>
          <cell r="G373">
            <v>2628.9</v>
          </cell>
        </row>
        <row r="374">
          <cell r="B374">
            <v>24</v>
          </cell>
          <cell r="C374" t="str">
            <v>Смедеревска Паланка</v>
          </cell>
          <cell r="D374">
            <v>20.9468</v>
          </cell>
          <cell r="E374">
            <v>44.363100000000003</v>
          </cell>
          <cell r="F374">
            <v>122</v>
          </cell>
          <cell r="G374">
            <v>2554.6</v>
          </cell>
        </row>
        <row r="375">
          <cell r="B375">
            <v>25</v>
          </cell>
          <cell r="C375" t="str">
            <v>Сјеница</v>
          </cell>
          <cell r="D375">
            <v>20.0167</v>
          </cell>
          <cell r="E375">
            <v>43.2667</v>
          </cell>
          <cell r="F375">
            <v>1038</v>
          </cell>
          <cell r="G375">
            <v>3956</v>
          </cell>
        </row>
        <row r="376">
          <cell r="B376">
            <v>26</v>
          </cell>
          <cell r="C376" t="str">
            <v>Сомбор</v>
          </cell>
          <cell r="D376">
            <v>19.124700000000001</v>
          </cell>
          <cell r="E376">
            <v>45.779699999999998</v>
          </cell>
          <cell r="F376">
            <v>88</v>
          </cell>
          <cell r="G376">
            <v>2686.2</v>
          </cell>
        </row>
        <row r="377">
          <cell r="B377">
            <v>27</v>
          </cell>
          <cell r="C377" t="str">
            <v>Ћуприја</v>
          </cell>
          <cell r="D377">
            <v>21.366700000000002</v>
          </cell>
          <cell r="E377">
            <v>43.9298</v>
          </cell>
          <cell r="F377">
            <v>123</v>
          </cell>
          <cell r="G377">
            <v>2666.2</v>
          </cell>
        </row>
        <row r="378">
          <cell r="B378">
            <v>28</v>
          </cell>
          <cell r="C378" t="str">
            <v>Црни Врх</v>
          </cell>
          <cell r="D378">
            <v>21.964300000000001</v>
          </cell>
          <cell r="E378">
            <v>44.1297</v>
          </cell>
          <cell r="F378">
            <v>1033</v>
          </cell>
          <cell r="G378">
            <v>4049</v>
          </cell>
        </row>
        <row r="379">
          <cell r="B379">
            <v>29</v>
          </cell>
          <cell r="C379" t="str">
            <v>Вршац</v>
          </cell>
          <cell r="D379">
            <v>21.316666666666666</v>
          </cell>
          <cell r="E379">
            <v>45.15</v>
          </cell>
          <cell r="F379">
            <v>84</v>
          </cell>
          <cell r="G379">
            <v>2521</v>
          </cell>
        </row>
        <row r="380">
          <cell r="B380">
            <v>30</v>
          </cell>
          <cell r="C380" t="str">
            <v>Сурчин</v>
          </cell>
          <cell r="D380">
            <v>20.283333333333335</v>
          </cell>
          <cell r="E380">
            <v>44.81666666666667</v>
          </cell>
          <cell r="F380">
            <v>96</v>
          </cell>
          <cell r="G380">
            <v>2482.5</v>
          </cell>
        </row>
        <row r="381">
          <cell r="B381">
            <v>31</v>
          </cell>
          <cell r="C381" t="str">
            <v>Кошутњак</v>
          </cell>
          <cell r="D381">
            <v>20.424374</v>
          </cell>
          <cell r="E381">
            <v>44.770991670000001</v>
          </cell>
          <cell r="F381">
            <v>193</v>
          </cell>
          <cell r="G381">
            <v>2413.6999999999998</v>
          </cell>
        </row>
        <row r="382">
          <cell r="B382">
            <v>32</v>
          </cell>
          <cell r="C382" t="str">
            <v>Блажево</v>
          </cell>
          <cell r="D382">
            <v>20.933299999999999</v>
          </cell>
          <cell r="E382">
            <v>43.2333</v>
          </cell>
          <cell r="F382">
            <v>880</v>
          </cell>
          <cell r="G382">
            <v>3364.6</v>
          </cell>
        </row>
        <row r="383">
          <cell r="B383">
            <v>33</v>
          </cell>
          <cell r="C383" t="str">
            <v>Јошаничка Бања</v>
          </cell>
          <cell r="D383">
            <v>20.75</v>
          </cell>
          <cell r="E383">
            <v>43.383299999999998</v>
          </cell>
          <cell r="F383">
            <v>555</v>
          </cell>
          <cell r="G383">
            <v>3008.5</v>
          </cell>
        </row>
        <row r="384">
          <cell r="B384">
            <v>34</v>
          </cell>
          <cell r="C384" t="str">
            <v>Каона</v>
          </cell>
          <cell r="D384">
            <v>20.416699999999999</v>
          </cell>
          <cell r="E384">
            <v>43.716700000000003</v>
          </cell>
          <cell r="F384">
            <v>570</v>
          </cell>
          <cell r="G384">
            <v>2913.9</v>
          </cell>
        </row>
        <row r="385">
          <cell r="B385">
            <v>35</v>
          </cell>
          <cell r="C385" t="str">
            <v>Пирот</v>
          </cell>
          <cell r="D385">
            <v>22.6</v>
          </cell>
          <cell r="E385">
            <v>43.15</v>
          </cell>
          <cell r="F385">
            <v>370</v>
          </cell>
          <cell r="G385">
            <v>2613.1</v>
          </cell>
        </row>
        <row r="386">
          <cell r="B386">
            <v>36</v>
          </cell>
          <cell r="C386" t="str">
            <v>Ратковић</v>
          </cell>
          <cell r="D386">
            <v>21.020552779999999</v>
          </cell>
          <cell r="E386">
            <v>43.91946944</v>
          </cell>
          <cell r="F386">
            <v>419</v>
          </cell>
          <cell r="G386">
            <v>3154</v>
          </cell>
        </row>
        <row r="387">
          <cell r="B387">
            <v>37</v>
          </cell>
          <cell r="C387" t="str">
            <v>РЦ Кукавица</v>
          </cell>
          <cell r="D387">
            <v>21.946391670000001</v>
          </cell>
          <cell r="E387">
            <v>42.791288889999997</v>
          </cell>
          <cell r="F387">
            <v>1438</v>
          </cell>
          <cell r="G387">
            <v>4371.8999999999996</v>
          </cell>
        </row>
        <row r="388">
          <cell r="B388">
            <v>38</v>
          </cell>
          <cell r="C388" t="str">
            <v>РЦ Сјеница</v>
          </cell>
          <cell r="D388">
            <v>19.973280559999999</v>
          </cell>
          <cell r="E388">
            <v>43.261741669999999</v>
          </cell>
          <cell r="F388">
            <v>1240</v>
          </cell>
          <cell r="G388">
            <v>3968.6</v>
          </cell>
        </row>
        <row r="389">
          <cell r="B389">
            <v>39</v>
          </cell>
          <cell r="C389" t="str">
            <v>РЦ  Крушевац</v>
          </cell>
          <cell r="D389">
            <v>21.266666666666666</v>
          </cell>
          <cell r="E389">
            <v>43.616666666666667</v>
          </cell>
          <cell r="F389">
            <v>403</v>
          </cell>
          <cell r="G389">
            <v>2730.8</v>
          </cell>
        </row>
        <row r="390">
          <cell r="B390">
            <v>40</v>
          </cell>
          <cell r="C390" t="str">
            <v>РЦ Ваљево</v>
          </cell>
          <cell r="D390">
            <v>19.916666666666668</v>
          </cell>
          <cell r="E390">
            <v>44.383333333333333</v>
          </cell>
          <cell r="F390">
            <v>388</v>
          </cell>
          <cell r="G390">
            <v>2610.4</v>
          </cell>
        </row>
        <row r="391">
          <cell r="B391">
            <v>41</v>
          </cell>
          <cell r="C391" t="str">
            <v>РЦ Ниш</v>
          </cell>
          <cell r="D391">
            <v>21.95</v>
          </cell>
          <cell r="E391">
            <v>43.4</v>
          </cell>
          <cell r="F391">
            <v>813</v>
          </cell>
          <cell r="G391">
            <v>3388.3</v>
          </cell>
        </row>
        <row r="392">
          <cell r="B392">
            <v>42</v>
          </cell>
          <cell r="C392" t="str">
            <v xml:space="preserve">РЦ Петровац </v>
          </cell>
          <cell r="D392">
            <v>21.316666666666666</v>
          </cell>
          <cell r="E392">
            <v>44.31666666666667</v>
          </cell>
          <cell r="F392">
            <v>282</v>
          </cell>
          <cell r="G392">
            <v>2593.9</v>
          </cell>
        </row>
        <row r="393">
          <cell r="B393">
            <v>43</v>
          </cell>
          <cell r="C393" t="str">
            <v>РЦ Ужице</v>
          </cell>
          <cell r="D393">
            <v>19.783333333333335</v>
          </cell>
          <cell r="E393">
            <v>43.883333333333333</v>
          </cell>
          <cell r="F393">
            <v>833</v>
          </cell>
          <cell r="G393">
            <v>3190.6</v>
          </cell>
        </row>
        <row r="394">
          <cell r="B394">
            <v>44</v>
          </cell>
          <cell r="C394" t="str">
            <v>Чумић</v>
          </cell>
          <cell r="D394">
            <v>20.816700000000001</v>
          </cell>
          <cell r="E394">
            <v>44.133299999999998</v>
          </cell>
          <cell r="F394">
            <v>365</v>
          </cell>
          <cell r="G394">
            <v>2681.3</v>
          </cell>
        </row>
        <row r="395">
          <cell r="B395">
            <v>45</v>
          </cell>
          <cell r="C395" t="str">
            <v>Јастребац</v>
          </cell>
          <cell r="D395">
            <v>21.383333333333333</v>
          </cell>
          <cell r="E395">
            <v>43.43333333333333</v>
          </cell>
          <cell r="F395">
            <v>575</v>
          </cell>
          <cell r="G395">
            <v>2662.5</v>
          </cell>
        </row>
        <row r="396">
          <cell r="B396">
            <v>46</v>
          </cell>
          <cell r="C396" t="str">
            <v>Карајукића Бунари</v>
          </cell>
          <cell r="D396">
            <v>20.100000000000001</v>
          </cell>
          <cell r="E396">
            <v>43.1</v>
          </cell>
          <cell r="F396">
            <v>1165</v>
          </cell>
          <cell r="G396">
            <v>4184.7</v>
          </cell>
        </row>
        <row r="397">
          <cell r="B397">
            <v>47</v>
          </cell>
          <cell r="C397" t="str">
            <v>Крупањ</v>
          </cell>
          <cell r="D397">
            <v>19.383333333333333</v>
          </cell>
          <cell r="E397">
            <v>44.366666666666667</v>
          </cell>
          <cell r="F397">
            <v>280</v>
          </cell>
          <cell r="G397">
            <v>2956.4</v>
          </cell>
        </row>
        <row r="398">
          <cell r="B398">
            <v>48</v>
          </cell>
          <cell r="C398" t="str">
            <v>Љубовија</v>
          </cell>
          <cell r="D398">
            <v>19.383333333333333</v>
          </cell>
          <cell r="E398">
            <v>44.18333333333333</v>
          </cell>
          <cell r="F398">
            <v>170</v>
          </cell>
          <cell r="G398">
            <v>2627.9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38EB-07C3-4A2E-8AA4-7EDEBFFDEBB8}">
  <sheetPr codeName="Sheet1"/>
  <dimension ref="A1:AF198"/>
  <sheetViews>
    <sheetView tabSelected="1" view="pageBreakPreview" zoomScale="130" zoomScaleNormal="100" zoomScaleSheetLayoutView="130" workbookViewId="0">
      <selection activeCell="A13" sqref="A13"/>
    </sheetView>
  </sheetViews>
  <sheetFormatPr defaultRowHeight="14.4"/>
  <cols>
    <col min="1" max="1" width="25.33203125" customWidth="1"/>
    <col min="2" max="2" width="12.109375" customWidth="1"/>
    <col min="3" max="9" width="9.6640625" customWidth="1"/>
    <col min="17" max="17" width="13.33203125" bestFit="1" customWidth="1"/>
  </cols>
  <sheetData>
    <row r="1" spans="2:32">
      <c r="L1" t="s">
        <v>500</v>
      </c>
    </row>
    <row r="2" spans="2:32" ht="18" customHeight="1" thickBot="1">
      <c r="B2" s="9" t="s">
        <v>539</v>
      </c>
      <c r="L2" s="351" t="str">
        <f>CONCATENATE(K3,"-     -",K4,"-     -",K5,"-     -",K6,"-     -",M9,"-     -",M14,"-     -",M15,"-     -",M16,"-     -",M17,"-     -",M18,"-     -",M20,"-     -",M21,"-     -",M22,"-     -",M23,"-     -",M25,"-     -",M30,"-     -",M38,"-     -",M39,"-     -",M44,"-     -",M51,"-     -",M55,"-     -",M60,"-     -",M62,"-     -",M68,"-     -",M69,"-     -",M71,"-     -",M73,"-     -",M77,"-     -",M118,"-     -",M119,"-     -",M120,"-     -",M121,"-     -",P118,"-     -",P119,"-     -",P120,"-     -",P121,"-     -",M127,"-     -",M131,"-     -",M132,"-     -",M133,"-     -",M134,"-     -",M149,"-     -",M163,"-     -",M173,"-     -",M28,"-     -",M177,"-     -",M178,"-     -",M180,"-     -",M181,"-     -",M182,"-     -",M184,"-     -",M186,"-     -",M188,"-     -",M189,"-     -",M190)</f>
        <v>ОПШТИНА ?-     -АДРЕСА ?-     -КРАЈЊИ КОРИСНИК ?-     -ИЗВОЂАЧ ?-     -ПОЈЕДИНАЧНА МЕРА ИЛИ ПАКЕТ ?-     -ИЗБОР МЕРА ?-     --     --     --     --     --     --     --     --     -ТИП ДОМАЋИНСТВА ?-     -ГОДИНА ИЗГРАДЊЕ ?-     --     --     --     --     --     --     --     --     --     --     --     --     --     --     --     --     --     --     --     --     --     --     --     --     --     --     --     --     -БРОЈ ЧЛАНОВА ДОМАЋИНСТВА ?-     --     --     --     --     --     --     --     --     --     -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351"/>
      <c r="AC2" s="351"/>
      <c r="AD2" s="351"/>
      <c r="AE2" s="351"/>
      <c r="AF2" s="351"/>
    </row>
    <row r="3" spans="2:32" ht="15" thickBot="1">
      <c r="B3" s="2" t="s">
        <v>421</v>
      </c>
      <c r="C3" s="71">
        <v>1</v>
      </c>
      <c r="G3" s="252" t="s">
        <v>419</v>
      </c>
      <c r="H3" s="72"/>
      <c r="I3" s="12"/>
      <c r="J3" s="12"/>
      <c r="K3" s="246" t="str">
        <f>IF(C5="","ОПШТИНА ?","")</f>
        <v>ОПШТИНА ?</v>
      </c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</row>
    <row r="4" spans="2:32" ht="15" thickBot="1">
      <c r="B4" s="2" t="s">
        <v>422</v>
      </c>
      <c r="C4" s="71" t="s">
        <v>533</v>
      </c>
      <c r="G4" s="252" t="s">
        <v>420</v>
      </c>
      <c r="H4" s="72"/>
      <c r="I4" s="13"/>
      <c r="J4" s="13"/>
      <c r="K4" s="246" t="str">
        <f>IF(C6="","АДРЕСА ?","")</f>
        <v>АДРЕСА ?</v>
      </c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1"/>
    </row>
    <row r="5" spans="2:32" ht="15" thickBot="1">
      <c r="B5" s="2" t="s">
        <v>94</v>
      </c>
      <c r="C5" s="71"/>
      <c r="G5" s="252" t="s">
        <v>423</v>
      </c>
      <c r="H5" s="71"/>
      <c r="I5" s="71"/>
      <c r="J5" s="71"/>
      <c r="K5" s="246" t="str">
        <f>IF(H3="","КРАЈЊИ КОРИСНИК ?","")</f>
        <v>КРАЈЊИ КОРИСНИК ?</v>
      </c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</row>
    <row r="6" spans="2:32" ht="15" thickBot="1">
      <c r="B6" s="2" t="s">
        <v>418</v>
      </c>
      <c r="C6" s="72"/>
      <c r="D6" s="72"/>
      <c r="K6" s="246" t="str">
        <f>IF(H4="","ИЗВОЂАЧ ?","")</f>
        <v>ИЗВОЂАЧ ?</v>
      </c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</row>
    <row r="7" spans="2:32">
      <c r="K7" s="250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</row>
    <row r="8" spans="2:32" ht="15" thickBot="1">
      <c r="B8" s="3" t="s">
        <v>60</v>
      </c>
      <c r="K8" s="250"/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1"/>
      <c r="AF8" s="351"/>
    </row>
    <row r="9" spans="2:32" ht="15" thickBot="1">
      <c r="B9" s="344"/>
      <c r="C9" t="s">
        <v>56</v>
      </c>
      <c r="K9" s="73" t="b">
        <v>0</v>
      </c>
      <c r="L9" s="73">
        <f t="shared" ref="L9:L12" si="0">IF(K9,1,0)</f>
        <v>0</v>
      </c>
      <c r="M9" s="246" t="str">
        <f>IF(SUM(L9:L12)&lt;&gt;1,"ПОЈЕДИНАЧНА МЕРА ИЛИ ПАКЕТ ?","")</f>
        <v>ПОЈЕДИНАЧНА МЕРА ИЛИ ПАКЕТ ?</v>
      </c>
      <c r="Q9" s="255"/>
    </row>
    <row r="10" spans="2:32">
      <c r="B10" s="344"/>
      <c r="C10" t="s">
        <v>57</v>
      </c>
      <c r="K10" s="73" t="b">
        <v>0</v>
      </c>
      <c r="L10" s="73">
        <f t="shared" si="0"/>
        <v>0</v>
      </c>
    </row>
    <row r="11" spans="2:32">
      <c r="B11" s="344"/>
      <c r="C11" t="s">
        <v>58</v>
      </c>
      <c r="K11" s="73" t="b">
        <v>0</v>
      </c>
      <c r="L11" s="73">
        <f t="shared" si="0"/>
        <v>0</v>
      </c>
    </row>
    <row r="12" spans="2:32">
      <c r="B12" s="344"/>
      <c r="C12" t="s">
        <v>59</v>
      </c>
      <c r="K12" s="73" t="b">
        <v>0</v>
      </c>
      <c r="L12" s="73">
        <f t="shared" si="0"/>
        <v>0</v>
      </c>
      <c r="N12" s="354"/>
      <c r="O12" s="354"/>
    </row>
    <row r="13" spans="2:32" ht="15" thickBot="1">
      <c r="B13" s="3" t="s">
        <v>61</v>
      </c>
      <c r="K13" s="73"/>
      <c r="L13" s="73"/>
    </row>
    <row r="14" spans="2:32" ht="15" thickBot="1">
      <c r="B14" s="268"/>
      <c r="C14" t="s">
        <v>432</v>
      </c>
      <c r="K14" s="73" t="b">
        <v>0</v>
      </c>
      <c r="L14" s="73">
        <f t="shared" ref="L14:L27" si="1">IF(K14,1,0)</f>
        <v>0</v>
      </c>
      <c r="M14" s="246" t="str">
        <f>IF(SUM(L14:L23)=0,"ИЗБОР МЕРА ?","")</f>
        <v>ИЗБОР МЕРА ?</v>
      </c>
    </row>
    <row r="15" spans="2:32" ht="15" thickBot="1">
      <c r="B15" s="268"/>
      <c r="C15" t="s">
        <v>433</v>
      </c>
      <c r="K15" s="73" t="b">
        <v>0</v>
      </c>
      <c r="L15" s="73">
        <f t="shared" si="1"/>
        <v>0</v>
      </c>
      <c r="M15" s="246" t="str">
        <f>IF(K15,IF(K27,"СТАН-НЕДОЗВОЉЕНА МЕРА",""),"")</f>
        <v/>
      </c>
      <c r="N15" s="4"/>
      <c r="O15" s="4"/>
      <c r="P15" s="4"/>
      <c r="Q15" s="4"/>
      <c r="X15" s="3"/>
    </row>
    <row r="16" spans="2:32" ht="15" thickBot="1">
      <c r="B16" s="268"/>
      <c r="C16" t="s">
        <v>434</v>
      </c>
      <c r="K16" s="73" t="b">
        <v>0</v>
      </c>
      <c r="L16" s="73">
        <f t="shared" si="1"/>
        <v>0</v>
      </c>
      <c r="M16" s="246" t="str">
        <f>IF(K16,IF(K27,"СТАН-НЕДОЗВОЉЕНА МЕРА",""),"")</f>
        <v/>
      </c>
    </row>
    <row r="17" spans="2:13" ht="15" thickBot="1">
      <c r="B17" s="268"/>
      <c r="C17" t="s">
        <v>435</v>
      </c>
      <c r="K17" s="73" t="b">
        <v>0</v>
      </c>
      <c r="L17" s="73">
        <f t="shared" si="1"/>
        <v>0</v>
      </c>
      <c r="M17" s="246" t="str">
        <f>IF(SUM(L17:L19)&gt;1,"ИЗАБРАНО ВИШЕ ИЗВОРА ТОПЛОТЕ !","")</f>
        <v/>
      </c>
    </row>
    <row r="18" spans="2:13" ht="15" thickBot="1">
      <c r="B18" s="268"/>
      <c r="C18" t="s">
        <v>436</v>
      </c>
      <c r="K18" s="73" t="b">
        <v>0</v>
      </c>
      <c r="L18" s="73">
        <f t="shared" si="1"/>
        <v>0</v>
      </c>
      <c r="M18" s="246" t="str">
        <f>IF(K18,IF(K27,"СТАН-НЕДОЗВОЉЕНА МЕРА",""),"")</f>
        <v/>
      </c>
    </row>
    <row r="19" spans="2:13" ht="15" thickBot="1">
      <c r="B19" s="268"/>
      <c r="C19" t="s">
        <v>437</v>
      </c>
      <c r="K19" s="73" t="b">
        <v>0</v>
      </c>
      <c r="L19" s="73">
        <f t="shared" si="1"/>
        <v>0</v>
      </c>
    </row>
    <row r="20" spans="2:13" ht="15" thickBot="1">
      <c r="B20" s="268"/>
      <c r="C20" t="s">
        <v>438</v>
      </c>
      <c r="K20" s="73" t="b">
        <v>0</v>
      </c>
      <c r="L20" s="73">
        <f t="shared" si="1"/>
        <v>0</v>
      </c>
      <c r="M20" s="246" t="str">
        <f>IF(L20=1,IF(SUM(L17:L19)=0,"НЕОПХОДНО ИЗАБРАТИ ИЗВОР ТОПЛОТЕ",""),"")</f>
        <v/>
      </c>
    </row>
    <row r="21" spans="2:13">
      <c r="B21" s="268"/>
      <c r="C21" t="s">
        <v>439</v>
      </c>
      <c r="K21" s="73" t="b">
        <v>0</v>
      </c>
      <c r="L21" s="73">
        <f t="shared" si="1"/>
        <v>0</v>
      </c>
    </row>
    <row r="22" spans="2:13" ht="15" thickBot="1">
      <c r="B22" s="268"/>
      <c r="C22" t="s">
        <v>440</v>
      </c>
      <c r="K22" s="73" t="b">
        <v>0</v>
      </c>
      <c r="L22" s="73">
        <f t="shared" si="1"/>
        <v>0</v>
      </c>
    </row>
    <row r="23" spans="2:13" ht="15" thickBot="1">
      <c r="B23" s="268"/>
      <c r="C23" t="s">
        <v>62</v>
      </c>
      <c r="K23" s="73" t="b">
        <v>0</v>
      </c>
      <c r="L23" s="73">
        <f t="shared" si="1"/>
        <v>0</v>
      </c>
      <c r="M23" s="246" t="str">
        <f>IF(L23=1,IF(SUM(L21:L22)+SUM(L14:L19)=0,"ЗА КОЈУ МЕРУ СЕ РАДИ ТЕХ.ДОК. ?",""),"")</f>
        <v/>
      </c>
    </row>
    <row r="24" spans="2:13" ht="15" thickBot="1">
      <c r="B24" s="3" t="s">
        <v>518</v>
      </c>
      <c r="K24" s="73"/>
      <c r="L24" s="73"/>
    </row>
    <row r="25" spans="2:13" ht="15" thickBot="1">
      <c r="B25" s="268"/>
      <c r="C25" t="s">
        <v>441</v>
      </c>
      <c r="K25" s="73" t="b">
        <v>0</v>
      </c>
      <c r="L25" s="73">
        <f t="shared" si="1"/>
        <v>0</v>
      </c>
      <c r="M25" s="246" t="str">
        <f>IF(SUM(L25:L27)&lt;&gt;1,"ТИП ДОМАЋИНСТВА ?","")</f>
        <v>ТИП ДОМАЋИНСТВА ?</v>
      </c>
    </row>
    <row r="26" spans="2:13">
      <c r="B26" s="268"/>
      <c r="C26" t="s">
        <v>442</v>
      </c>
      <c r="K26" s="73" t="b">
        <v>0</v>
      </c>
      <c r="L26" s="73">
        <f t="shared" si="1"/>
        <v>0</v>
      </c>
    </row>
    <row r="27" spans="2:13" ht="15" thickBot="1">
      <c r="B27" s="268"/>
      <c r="C27" t="s">
        <v>443</v>
      </c>
      <c r="K27" s="73" t="b">
        <v>0</v>
      </c>
      <c r="L27" s="73">
        <f t="shared" si="1"/>
        <v>0</v>
      </c>
    </row>
    <row r="28" spans="2:13" ht="15" thickBot="1">
      <c r="C28" s="269" t="s">
        <v>211</v>
      </c>
      <c r="D28" s="247"/>
      <c r="K28" s="73"/>
      <c r="L28" s="73"/>
      <c r="M28" s="246" t="str">
        <f>IF(D28=0,"БРОЈ ЧЛАНОВА ДОМАЋИНСТВА ?","")</f>
        <v>БРОЈ ЧЛАНОВА ДОМАЋИНСТВА ?</v>
      </c>
    </row>
    <row r="29" spans="2:13" ht="15" thickBot="1">
      <c r="B29" s="3" t="s">
        <v>47</v>
      </c>
      <c r="K29" s="73"/>
      <c r="L29" s="73"/>
    </row>
    <row r="30" spans="2:13" ht="15" thickBot="1">
      <c r="B30" s="268"/>
      <c r="C30" t="s">
        <v>3</v>
      </c>
      <c r="K30" s="73" t="b">
        <v>0</v>
      </c>
      <c r="L30" s="73">
        <f>IF(K30,1,0)</f>
        <v>0</v>
      </c>
      <c r="M30" s="246" t="str">
        <f>IF(SUM(L30:L37)&lt;&gt;1,"ГОДИНА ИЗГРАДЊЕ ?","")</f>
        <v>ГОДИНА ИЗГРАДЊЕ ?</v>
      </c>
    </row>
    <row r="31" spans="2:13">
      <c r="B31" s="268"/>
      <c r="C31" t="s">
        <v>4</v>
      </c>
      <c r="K31" s="73" t="b">
        <v>0</v>
      </c>
      <c r="L31" s="73">
        <f t="shared" ref="L31:L37" si="2">IF(K31,1,0)</f>
        <v>0</v>
      </c>
    </row>
    <row r="32" spans="2:13">
      <c r="B32" s="268"/>
      <c r="C32" t="s">
        <v>5</v>
      </c>
      <c r="K32" s="73" t="b">
        <v>0</v>
      </c>
      <c r="L32" s="73">
        <f t="shared" si="2"/>
        <v>0</v>
      </c>
    </row>
    <row r="33" spans="1:13">
      <c r="B33" s="268"/>
      <c r="C33" t="s">
        <v>6</v>
      </c>
      <c r="K33" s="73" t="b">
        <v>0</v>
      </c>
      <c r="L33" s="73">
        <f t="shared" si="2"/>
        <v>0</v>
      </c>
    </row>
    <row r="34" spans="1:13">
      <c r="B34" s="268"/>
      <c r="C34" t="s">
        <v>7</v>
      </c>
      <c r="K34" s="73" t="b">
        <v>0</v>
      </c>
      <c r="L34" s="73">
        <f t="shared" si="2"/>
        <v>0</v>
      </c>
    </row>
    <row r="35" spans="1:13">
      <c r="B35" s="268"/>
      <c r="C35" t="s">
        <v>8</v>
      </c>
      <c r="K35" s="73" t="b">
        <v>0</v>
      </c>
      <c r="L35" s="73">
        <f t="shared" si="2"/>
        <v>0</v>
      </c>
    </row>
    <row r="36" spans="1:13">
      <c r="B36" s="268"/>
      <c r="C36" t="s">
        <v>9</v>
      </c>
      <c r="K36" s="73" t="b">
        <v>0</v>
      </c>
      <c r="L36" s="73">
        <f t="shared" si="2"/>
        <v>0</v>
      </c>
    </row>
    <row r="37" spans="1:13" ht="15" thickBot="1">
      <c r="B37" s="268"/>
      <c r="C37" t="s">
        <v>22</v>
      </c>
      <c r="K37" s="73" t="b">
        <v>0</v>
      </c>
      <c r="L37" s="73">
        <f t="shared" si="2"/>
        <v>0</v>
      </c>
    </row>
    <row r="38" spans="1:13" ht="16.8" thickBot="1">
      <c r="A38" s="2"/>
      <c r="B38" s="3" t="s">
        <v>203</v>
      </c>
      <c r="E38" s="15"/>
      <c r="F38" s="71"/>
      <c r="G38" t="s">
        <v>63</v>
      </c>
      <c r="K38" s="73"/>
      <c r="L38" s="73"/>
      <c r="M38" s="246" t="str">
        <f>IF(SUM(L14:L19)&gt;0,IF(F38=0,"ПОВРШИНА ГРЕЈАНОГ ПРОСТОРА ?",""),"")</f>
        <v/>
      </c>
    </row>
    <row r="39" spans="1:13" ht="15" thickBot="1">
      <c r="A39" s="2"/>
      <c r="B39" s="3" t="s">
        <v>202</v>
      </c>
      <c r="E39" s="15"/>
      <c r="F39" s="71"/>
      <c r="G39" t="s">
        <v>0</v>
      </c>
      <c r="K39" s="73"/>
      <c r="L39" s="73"/>
      <c r="M39" s="246" t="str">
        <f>IF(SUM(L14:L19)&gt;0,IF(F39=0,"ВИСИНА ГРЕЈАНОГ ПРОСТОРА ?",""),"")</f>
        <v/>
      </c>
    </row>
    <row r="40" spans="1:13" hidden="1">
      <c r="A40" s="2"/>
      <c r="B40" s="3" t="s">
        <v>445</v>
      </c>
      <c r="D40" s="15"/>
      <c r="E40" s="15"/>
      <c r="F40" s="270"/>
      <c r="G40" t="s">
        <v>0</v>
      </c>
      <c r="K40" s="73"/>
      <c r="L40" s="73"/>
    </row>
    <row r="41" spans="1:13" hidden="1">
      <c r="A41" s="2"/>
      <c r="B41" s="271" t="s">
        <v>446</v>
      </c>
      <c r="D41" s="15"/>
      <c r="E41" s="15"/>
      <c r="F41" s="270"/>
      <c r="G41" t="s">
        <v>0</v>
      </c>
      <c r="K41" s="73"/>
      <c r="L41" s="73"/>
    </row>
    <row r="42" spans="1:13" hidden="1">
      <c r="A42" s="2"/>
      <c r="B42" s="3" t="s">
        <v>509</v>
      </c>
      <c r="D42" s="15"/>
      <c r="E42" s="15"/>
      <c r="F42" s="270"/>
      <c r="K42" s="73"/>
      <c r="L42" s="73"/>
    </row>
    <row r="43" spans="1:13" ht="15" thickBot="1">
      <c r="A43" s="2"/>
      <c r="B43" s="3" t="s">
        <v>447</v>
      </c>
      <c r="K43" s="73"/>
      <c r="L43" s="73"/>
    </row>
    <row r="44" spans="1:13" ht="15" thickBot="1">
      <c r="B44" s="268"/>
      <c r="C44" t="s">
        <v>30</v>
      </c>
      <c r="K44" s="73" t="b">
        <v>0</v>
      </c>
      <c r="L44" s="73">
        <f>IF(K44,1,0)</f>
        <v>0</v>
      </c>
      <c r="M44" s="246" t="str">
        <f>IF(SUM(L14:L19)&gt;0,IF(SUM(L44:L51)&lt;&gt;1,"ИЗБОР ПОСТОЈЕЋЕГ ГРЕЈАЊА ?",""),"")</f>
        <v/>
      </c>
    </row>
    <row r="45" spans="1:13">
      <c r="B45" s="268"/>
      <c r="C45" t="s">
        <v>29</v>
      </c>
      <c r="K45" s="73" t="b">
        <v>0</v>
      </c>
      <c r="L45" s="73">
        <f t="shared" ref="L45:L50" si="3">IF(K45,1,0)</f>
        <v>0</v>
      </c>
    </row>
    <row r="46" spans="1:13">
      <c r="B46" s="268"/>
      <c r="C46" t="s">
        <v>89</v>
      </c>
      <c r="K46" s="73" t="b">
        <v>0</v>
      </c>
      <c r="L46" s="73">
        <f t="shared" si="3"/>
        <v>0</v>
      </c>
    </row>
    <row r="47" spans="1:13">
      <c r="B47" s="268"/>
      <c r="C47" t="s">
        <v>31</v>
      </c>
      <c r="K47" s="73" t="b">
        <v>0</v>
      </c>
      <c r="L47" s="73">
        <f t="shared" si="3"/>
        <v>0</v>
      </c>
    </row>
    <row r="48" spans="1:13">
      <c r="B48" s="268"/>
      <c r="C48" t="s">
        <v>32</v>
      </c>
      <c r="K48" s="73" t="b">
        <v>0</v>
      </c>
      <c r="L48" s="73">
        <f t="shared" si="3"/>
        <v>0</v>
      </c>
    </row>
    <row r="49" spans="1:18">
      <c r="B49" s="268"/>
      <c r="C49" t="s">
        <v>33</v>
      </c>
      <c r="K49" s="73" t="b">
        <v>0</v>
      </c>
      <c r="L49" s="73">
        <f t="shared" si="3"/>
        <v>0</v>
      </c>
    </row>
    <row r="50" spans="1:18" ht="15" thickBot="1">
      <c r="B50" s="268"/>
      <c r="C50" t="s">
        <v>146</v>
      </c>
      <c r="K50" s="73" t="b">
        <v>0</v>
      </c>
      <c r="L50" s="73">
        <f t="shared" si="3"/>
        <v>0</v>
      </c>
    </row>
    <row r="51" spans="1:18" ht="15" thickBot="1">
      <c r="B51" s="268"/>
      <c r="C51" t="s">
        <v>46</v>
      </c>
      <c r="D51" s="12"/>
      <c r="E51" s="12"/>
      <c r="F51" s="12"/>
      <c r="G51" s="12"/>
      <c r="H51" s="12"/>
      <c r="I51" s="12"/>
      <c r="J51" s="12"/>
      <c r="K51" s="73" t="b">
        <v>0</v>
      </c>
      <c r="L51" s="73">
        <f>IF(K51,1,0)</f>
        <v>0</v>
      </c>
      <c r="M51" s="246" t="str">
        <f>IF(L51,"НЕСТАНДАРДНИ ИЗВОР ТОПЛОТЕ","")</f>
        <v/>
      </c>
    </row>
    <row r="52" spans="1:18">
      <c r="B52" t="s">
        <v>64</v>
      </c>
      <c r="I52" s="345"/>
      <c r="J52" s="12"/>
      <c r="K52" s="73"/>
      <c r="L52" s="73"/>
    </row>
    <row r="53" spans="1:18">
      <c r="B53" t="s">
        <v>65</v>
      </c>
      <c r="F53" s="345"/>
      <c r="G53" t="s">
        <v>1</v>
      </c>
      <c r="K53" s="73"/>
      <c r="L53" s="73"/>
    </row>
    <row r="54" spans="1:18" ht="15" thickBot="1">
      <c r="A54" s="272"/>
      <c r="B54" s="273" t="s">
        <v>398</v>
      </c>
      <c r="C54" s="273"/>
      <c r="D54" s="273"/>
      <c r="E54" s="272"/>
      <c r="F54" s="272"/>
      <c r="G54" s="272"/>
      <c r="H54" s="272"/>
      <c r="I54" s="272"/>
      <c r="J54" s="272"/>
      <c r="K54" s="73"/>
      <c r="L54" s="73"/>
    </row>
    <row r="55" spans="1:18" ht="15" thickBot="1">
      <c r="A55" s="272"/>
      <c r="B55" s="268"/>
      <c r="C55" s="273" t="s">
        <v>397</v>
      </c>
      <c r="D55" s="273"/>
      <c r="E55" s="272"/>
      <c r="F55" s="272"/>
      <c r="G55" s="272"/>
      <c r="H55" s="272"/>
      <c r="I55" s="272"/>
      <c r="J55" s="272"/>
      <c r="K55" s="73" t="b">
        <v>0</v>
      </c>
      <c r="L55" s="73">
        <f t="shared" ref="L55:L57" si="4">IF(K55,1,0)</f>
        <v>0</v>
      </c>
      <c r="M55" s="246" t="str">
        <f>IF(SUM(L14:L19)&gt;0,IF(SUM(L55:L57)&lt;&gt;1,"ТИП ПОСТОЈЕЋЕГ ГРЕЈАЊА ?",""),"")</f>
        <v/>
      </c>
    </row>
    <row r="56" spans="1:18">
      <c r="A56" s="272"/>
      <c r="B56" s="268"/>
      <c r="C56" s="273" t="s">
        <v>396</v>
      </c>
      <c r="D56" s="273"/>
      <c r="E56" s="272"/>
      <c r="F56" s="272"/>
      <c r="G56" s="272"/>
      <c r="H56" s="272"/>
      <c r="I56" s="272"/>
      <c r="J56" s="272"/>
      <c r="K56" s="73" t="b">
        <v>0</v>
      </c>
      <c r="L56" s="73">
        <f t="shared" si="4"/>
        <v>0</v>
      </c>
    </row>
    <row r="57" spans="1:18">
      <c r="A57" s="272"/>
      <c r="B57" s="268"/>
      <c r="C57" s="273" t="s">
        <v>399</v>
      </c>
      <c r="D57" s="273"/>
      <c r="E57" s="272"/>
      <c r="F57" s="272"/>
      <c r="G57" s="272"/>
      <c r="H57" s="272"/>
      <c r="I57" s="272"/>
      <c r="J57" s="272"/>
      <c r="K57" s="73" t="b">
        <v>0</v>
      </c>
      <c r="L57" s="73">
        <f t="shared" si="4"/>
        <v>0</v>
      </c>
    </row>
    <row r="58" spans="1:18">
      <c r="A58" s="11">
        <v>1</v>
      </c>
      <c r="B58" s="274" t="s">
        <v>66</v>
      </c>
      <c r="K58" s="73"/>
      <c r="L58" s="73"/>
    </row>
    <row r="59" spans="1:18" ht="15" thickBot="1">
      <c r="A59" s="11"/>
      <c r="B59" s="3" t="s">
        <v>454</v>
      </c>
      <c r="K59" s="73"/>
      <c r="L59" s="73"/>
    </row>
    <row r="60" spans="1:18" ht="16.8" thickBot="1">
      <c r="B60" s="3" t="s">
        <v>448</v>
      </c>
      <c r="F60" s="71"/>
      <c r="G60" t="s">
        <v>63</v>
      </c>
      <c r="H60" s="275" t="str">
        <f>IF(   $K$14,   IF(   F60=0,   "- УНОС ПОВРШИНЕ",   ""   ),   IF(   F60&lt;&gt;0,   "! ! ! ПОВРШИНА=0 ! ! !",   ""   )   )</f>
        <v/>
      </c>
      <c r="K60" s="73"/>
      <c r="L60" s="73"/>
      <c r="M60" s="246" t="str">
        <f>IF(K14,IF(F60=0,"ПОВРШИНА ПРОЗОРА ?",""),"")</f>
        <v/>
      </c>
    </row>
    <row r="61" spans="1:18" ht="15" thickBot="1">
      <c r="B61" s="3" t="s">
        <v>449</v>
      </c>
      <c r="K61" s="73"/>
      <c r="L61" s="73"/>
    </row>
    <row r="62" spans="1:18" ht="15" thickBot="1">
      <c r="B62" s="268"/>
      <c r="C62" t="s">
        <v>10</v>
      </c>
      <c r="K62" s="73" t="b">
        <v>0</v>
      </c>
      <c r="L62" s="73">
        <f t="shared" ref="L62:L63" si="5">IF(K62,1,0)</f>
        <v>0</v>
      </c>
      <c r="M62" s="246" t="str">
        <f>IF(K14,IF(SUM(L62:L63)&lt;&gt;1,"ТИП ПРОЗОРА ?",""),"")</f>
        <v/>
      </c>
      <c r="Q62" s="19"/>
      <c r="R62" s="19"/>
    </row>
    <row r="63" spans="1:18">
      <c r="B63" s="276"/>
      <c r="C63" t="s">
        <v>11</v>
      </c>
      <c r="K63" s="73" t="b">
        <v>0</v>
      </c>
      <c r="L63" s="73">
        <f t="shared" si="5"/>
        <v>0</v>
      </c>
      <c r="Q63" s="19"/>
      <c r="R63" s="19"/>
    </row>
    <row r="64" spans="1:18">
      <c r="B64" s="3" t="s">
        <v>450</v>
      </c>
      <c r="K64" s="73"/>
      <c r="L64" s="73"/>
    </row>
    <row r="65" spans="1:13">
      <c r="B65" s="276"/>
      <c r="C65" t="s">
        <v>510</v>
      </c>
      <c r="K65" s="73" t="b">
        <v>0</v>
      </c>
      <c r="L65" s="73"/>
    </row>
    <row r="66" spans="1:13">
      <c r="B66" s="268"/>
      <c r="C66" t="s">
        <v>511</v>
      </c>
      <c r="K66" s="73" t="b">
        <v>0</v>
      </c>
      <c r="L66" s="73"/>
    </row>
    <row r="67" spans="1:13" ht="15" thickBot="1">
      <c r="B67" s="276"/>
      <c r="C67" t="s">
        <v>512</v>
      </c>
      <c r="K67" s="73" t="b">
        <v>0</v>
      </c>
      <c r="L67" s="73"/>
    </row>
    <row r="68" spans="1:13" ht="15" thickBot="1">
      <c r="A68" s="2"/>
      <c r="B68" s="277"/>
      <c r="C68" t="s">
        <v>46</v>
      </c>
      <c r="D68" s="12"/>
      <c r="E68" s="12"/>
      <c r="F68" s="12"/>
      <c r="G68" s="12"/>
      <c r="H68" s="12"/>
      <c r="I68" s="12"/>
      <c r="J68" s="12"/>
      <c r="K68" s="73" t="b">
        <v>0</v>
      </c>
      <c r="L68" s="73"/>
      <c r="M68" s="246" t="str">
        <f>IF(K68,"НЕСТАНДАРДНИ ПРОЗОР","")</f>
        <v/>
      </c>
    </row>
    <row r="69" spans="1:13" ht="16.8" thickBot="1">
      <c r="B69" s="278" t="s">
        <v>451</v>
      </c>
      <c r="F69" s="71"/>
      <c r="G69" t="s">
        <v>63</v>
      </c>
      <c r="H69" s="275" t="str">
        <f>IF(   $K$14,   IF(   F69=0,   "- УНОС ПОВРШИНЕ",   ""   ),   IF(   F69&lt;&gt;0,   "! ! ! ПОВРШИНА=0 ! ! !",   ""   )   )</f>
        <v/>
      </c>
      <c r="K69" s="73"/>
      <c r="L69" s="73"/>
      <c r="M69" s="246" t="str">
        <f>IF(K14,IF(F69=0,"ДА ЛИ СЕ ВРШИ ЗАМЕНА ВРАТА ?",""),"")</f>
        <v/>
      </c>
    </row>
    <row r="70" spans="1:13" ht="15" thickBot="1">
      <c r="B70" s="278" t="s">
        <v>513</v>
      </c>
      <c r="K70" s="73"/>
      <c r="L70" s="73"/>
    </row>
    <row r="71" spans="1:13" ht="15" thickBot="1">
      <c r="B71" s="276"/>
      <c r="C71" s="279" t="s">
        <v>67</v>
      </c>
      <c r="K71" s="73" t="b">
        <v>0</v>
      </c>
      <c r="L71" s="73">
        <f t="shared" ref="L71:L72" si="6">IF(K71,1,0)</f>
        <v>0</v>
      </c>
      <c r="M71" s="246" t="str">
        <f>IF(K14,IF(F69&gt;0,IF(SUM(L71:L72)&lt;&gt;1,"ТИП ВРАТА ?",""),""),"")</f>
        <v/>
      </c>
    </row>
    <row r="72" spans="1:13" ht="15" thickBot="1">
      <c r="B72" s="276"/>
      <c r="C72" s="279" t="s">
        <v>68</v>
      </c>
      <c r="K72" s="73" t="b">
        <v>0</v>
      </c>
      <c r="L72" s="73">
        <f t="shared" si="6"/>
        <v>0</v>
      </c>
    </row>
    <row r="73" spans="1:13" ht="15" thickBot="1">
      <c r="A73" s="272"/>
      <c r="B73" s="252" t="s">
        <v>452</v>
      </c>
      <c r="C73" s="254"/>
      <c r="D73" s="272"/>
      <c r="E73" s="329"/>
      <c r="F73" s="339" t="s">
        <v>574</v>
      </c>
      <c r="G73" s="330"/>
      <c r="H73" s="330"/>
      <c r="I73" s="330"/>
      <c r="J73" s="331"/>
      <c r="K73" s="73"/>
      <c r="L73" s="73"/>
      <c r="M73" s="246" t="str">
        <f>IF($K$14,IF(C73=0,"ВРЕДНОСТ ИНВЕСТИЦИЈЕ ?",""),"")</f>
        <v/>
      </c>
    </row>
    <row r="74" spans="1:13" ht="16.2">
      <c r="A74" s="272"/>
      <c r="B74" s="273" t="s">
        <v>122</v>
      </c>
      <c r="C74" s="273"/>
      <c r="D74" s="273"/>
      <c r="E74" s="332" t="s">
        <v>573</v>
      </c>
      <c r="F74" s="340"/>
      <c r="G74" s="273" t="s">
        <v>88</v>
      </c>
      <c r="H74" s="272"/>
      <c r="I74" s="272"/>
      <c r="J74" s="333"/>
      <c r="K74" s="73"/>
      <c r="L74" s="73"/>
    </row>
    <row r="75" spans="1:13" ht="16.8" thickBot="1">
      <c r="A75" s="272"/>
      <c r="B75" s="252" t="s">
        <v>34</v>
      </c>
      <c r="C75" s="346"/>
      <c r="D75" s="273"/>
      <c r="E75" s="332" t="s">
        <v>576</v>
      </c>
      <c r="F75" s="341"/>
      <c r="G75" s="273" t="s">
        <v>88</v>
      </c>
      <c r="H75" s="272"/>
      <c r="I75" s="272"/>
      <c r="J75" s="333"/>
      <c r="K75" s="73"/>
      <c r="L75" s="73"/>
    </row>
    <row r="76" spans="1:13" ht="16.2" thickBot="1">
      <c r="A76" s="272"/>
      <c r="B76" s="252" t="s">
        <v>35</v>
      </c>
      <c r="C76" s="347"/>
      <c r="D76" s="273"/>
      <c r="E76" s="334" t="s">
        <v>577</v>
      </c>
      <c r="F76" s="346">
        <v>0.25</v>
      </c>
      <c r="G76" s="273" t="s">
        <v>578</v>
      </c>
      <c r="H76" s="272"/>
      <c r="I76" s="272"/>
      <c r="J76" s="333"/>
      <c r="K76" s="73"/>
      <c r="L76" s="73"/>
    </row>
    <row r="77" spans="1:13" ht="16.8" thickBot="1">
      <c r="A77" s="272"/>
      <c r="B77" s="252" t="s">
        <v>514</v>
      </c>
      <c r="C77" s="280">
        <f>MAX(F74,F75)</f>
        <v>0</v>
      </c>
      <c r="D77" s="273" t="s">
        <v>88</v>
      </c>
      <c r="E77" s="335" t="s">
        <v>579</v>
      </c>
      <c r="F77" s="346">
        <v>0.04</v>
      </c>
      <c r="G77" s="273" t="s">
        <v>580</v>
      </c>
      <c r="H77" s="272"/>
      <c r="I77" s="272"/>
      <c r="J77" s="333"/>
      <c r="K77" s="73"/>
      <c r="L77" s="73"/>
      <c r="M77" s="246" t="str">
        <f>IF($K$14,IF(C77=0,"КОЕФИЦИЈЕНТ ПРОЗОРА ?",""),"")</f>
        <v/>
      </c>
    </row>
    <row r="78" spans="1:13">
      <c r="A78" s="272"/>
      <c r="B78" s="273" t="s">
        <v>453</v>
      </c>
      <c r="C78" s="273"/>
      <c r="D78" s="273"/>
      <c r="E78" s="332" t="s">
        <v>581</v>
      </c>
      <c r="F78" s="346">
        <f>(1-F76)*F60</f>
        <v>0</v>
      </c>
      <c r="G78" s="273" t="s">
        <v>583</v>
      </c>
      <c r="H78" s="272"/>
      <c r="I78" s="272"/>
      <c r="J78" s="333"/>
      <c r="K78" s="73"/>
      <c r="L78" s="73"/>
    </row>
    <row r="79" spans="1:13">
      <c r="A79" s="272"/>
      <c r="B79" s="252" t="s">
        <v>34</v>
      </c>
      <c r="C79" s="346"/>
      <c r="D79" s="273"/>
      <c r="E79" s="332" t="s">
        <v>586</v>
      </c>
      <c r="F79" s="346">
        <f>F76*F60</f>
        <v>0</v>
      </c>
      <c r="G79" s="273" t="s">
        <v>584</v>
      </c>
      <c r="H79" s="272"/>
      <c r="I79" s="272"/>
      <c r="J79" s="333"/>
      <c r="K79" s="73"/>
      <c r="L79" s="73"/>
    </row>
    <row r="80" spans="1:13" ht="15" thickBot="1">
      <c r="A80" s="272"/>
      <c r="B80" s="252" t="s">
        <v>35</v>
      </c>
      <c r="C80" s="347"/>
      <c r="D80" s="273"/>
      <c r="E80" s="332" t="s">
        <v>582</v>
      </c>
      <c r="F80" s="346">
        <f>4*F60*0.85</f>
        <v>0</v>
      </c>
      <c r="G80" s="273" t="s">
        <v>585</v>
      </c>
      <c r="H80" s="272"/>
      <c r="I80" s="272"/>
      <c r="J80" s="333"/>
      <c r="K80" s="73"/>
      <c r="L80" s="73"/>
    </row>
    <row r="81" spans="1:17" ht="16.8" thickBot="1">
      <c r="A81" s="272"/>
      <c r="B81" s="252" t="s">
        <v>514</v>
      </c>
      <c r="C81" s="231"/>
      <c r="D81" s="273" t="s">
        <v>88</v>
      </c>
      <c r="E81" s="336" t="s">
        <v>575</v>
      </c>
      <c r="F81" s="342" t="e">
        <f>(F74*F78+F75*F79+F77*F80)/F60</f>
        <v>#DIV/0!</v>
      </c>
      <c r="G81" s="343" t="s">
        <v>588</v>
      </c>
      <c r="H81" s="337"/>
      <c r="I81" s="337"/>
      <c r="J81" s="338"/>
      <c r="K81" s="73"/>
      <c r="L81" s="73"/>
      <c r="M81" s="246" t="str">
        <f>IF($K$14,IF(F69&gt;0,IF(C81=0,"КОЕФИЦИЈЕНТ ВРАТА ?",""),""),"")</f>
        <v/>
      </c>
    </row>
    <row r="82" spans="1:17">
      <c r="K82" s="73"/>
      <c r="L82" s="73"/>
    </row>
    <row r="83" spans="1:17">
      <c r="A83" s="11">
        <v>2</v>
      </c>
      <c r="B83" s="274" t="s">
        <v>79</v>
      </c>
      <c r="K83" s="73"/>
      <c r="L83" s="73"/>
      <c r="M83" t="s">
        <v>587</v>
      </c>
    </row>
    <row r="84" spans="1:17">
      <c r="B84" s="274" t="s">
        <v>455</v>
      </c>
      <c r="K84" s="74"/>
      <c r="L84" s="74"/>
      <c r="M84" s="3"/>
      <c r="N84" s="3"/>
    </row>
    <row r="85" spans="1:17">
      <c r="D85" s="16" t="s">
        <v>69</v>
      </c>
      <c r="E85" s="282">
        <v>1</v>
      </c>
      <c r="F85" s="282">
        <v>2</v>
      </c>
      <c r="G85" s="282">
        <v>3</v>
      </c>
      <c r="H85" s="282">
        <v>4</v>
      </c>
      <c r="I85" s="282">
        <v>5</v>
      </c>
      <c r="K85" s="73"/>
      <c r="L85" s="261"/>
      <c r="M85" s="18"/>
      <c r="N85" s="18"/>
      <c r="O85" s="18"/>
      <c r="P85" s="18"/>
    </row>
    <row r="86" spans="1:17" ht="76.5" customHeight="1">
      <c r="D86" s="16"/>
      <c r="E86" s="283" t="s">
        <v>100</v>
      </c>
      <c r="F86" s="283" t="s">
        <v>101</v>
      </c>
      <c r="G86" s="283" t="s">
        <v>102</v>
      </c>
      <c r="H86" s="283" t="s">
        <v>107</v>
      </c>
      <c r="I86" s="283" t="s">
        <v>106</v>
      </c>
      <c r="K86" s="262" t="s">
        <v>86</v>
      </c>
      <c r="L86" s="262" t="s">
        <v>290</v>
      </c>
      <c r="M86" s="18"/>
      <c r="N86" s="18"/>
      <c r="O86" s="18"/>
      <c r="P86" s="18"/>
      <c r="Q86" s="18"/>
    </row>
    <row r="87" spans="1:17">
      <c r="D87" s="284" t="s">
        <v>19</v>
      </c>
      <c r="E87" s="348">
        <v>0</v>
      </c>
      <c r="F87" s="348">
        <v>0</v>
      </c>
      <c r="G87" s="348">
        <v>0</v>
      </c>
      <c r="H87" s="348">
        <v>0</v>
      </c>
      <c r="I87" s="348">
        <v>0</v>
      </c>
      <c r="K87" s="73">
        <v>2.33</v>
      </c>
      <c r="L87" s="73">
        <f>IF(K87=0,0,1/K87)</f>
        <v>0.42918454935622319</v>
      </c>
    </row>
    <row r="88" spans="1:17">
      <c r="D88" s="2" t="s">
        <v>12</v>
      </c>
      <c r="E88" s="348">
        <v>0</v>
      </c>
      <c r="F88" s="348">
        <v>0</v>
      </c>
      <c r="G88" s="348">
        <v>0</v>
      </c>
      <c r="H88" s="348">
        <v>0</v>
      </c>
      <c r="I88" s="348">
        <v>0</v>
      </c>
      <c r="K88" s="73">
        <v>0.64</v>
      </c>
      <c r="L88" s="73">
        <f t="shared" ref="L88:L116" si="7">IF(K88=0,0,1/K88)</f>
        <v>1.5625</v>
      </c>
    </row>
    <row r="89" spans="1:17">
      <c r="D89" s="2" t="s">
        <v>13</v>
      </c>
      <c r="E89" s="348">
        <v>0</v>
      </c>
      <c r="F89" s="348">
        <v>0</v>
      </c>
      <c r="G89" s="348">
        <v>0</v>
      </c>
      <c r="H89" s="348">
        <v>0</v>
      </c>
      <c r="I89" s="348">
        <v>0</v>
      </c>
      <c r="K89" s="73">
        <v>0.35</v>
      </c>
      <c r="L89" s="73">
        <f t="shared" si="7"/>
        <v>2.8571428571428572</v>
      </c>
    </row>
    <row r="90" spans="1:17">
      <c r="D90" s="2" t="s">
        <v>14</v>
      </c>
      <c r="E90" s="348">
        <v>0</v>
      </c>
      <c r="F90" s="348">
        <v>0</v>
      </c>
      <c r="G90" s="348">
        <v>0</v>
      </c>
      <c r="H90" s="348">
        <v>0</v>
      </c>
      <c r="I90" s="348">
        <v>0</v>
      </c>
      <c r="K90" s="73">
        <v>0.56000000000000005</v>
      </c>
      <c r="L90" s="73">
        <f t="shared" si="7"/>
        <v>1.7857142857142856</v>
      </c>
    </row>
    <row r="91" spans="1:17">
      <c r="D91" s="2" t="s">
        <v>48</v>
      </c>
      <c r="E91" s="348">
        <v>0</v>
      </c>
      <c r="F91" s="348">
        <v>0</v>
      </c>
      <c r="G91" s="348">
        <v>0</v>
      </c>
      <c r="H91" s="348">
        <v>0</v>
      </c>
      <c r="I91" s="348">
        <v>0</v>
      </c>
      <c r="K91" s="73">
        <v>0.24</v>
      </c>
      <c r="L91" s="73">
        <f t="shared" si="7"/>
        <v>4.166666666666667</v>
      </c>
    </row>
    <row r="92" spans="1:17">
      <c r="D92" s="2" t="s">
        <v>15</v>
      </c>
      <c r="E92" s="348">
        <v>0</v>
      </c>
      <c r="F92" s="348">
        <v>0</v>
      </c>
      <c r="G92" s="348">
        <v>0</v>
      </c>
      <c r="H92" s="348">
        <v>0</v>
      </c>
      <c r="I92" s="348">
        <v>0</v>
      </c>
      <c r="K92" s="73">
        <v>0.18</v>
      </c>
      <c r="L92" s="73">
        <f t="shared" si="7"/>
        <v>5.5555555555555554</v>
      </c>
    </row>
    <row r="93" spans="1:17">
      <c r="D93" s="14" t="s">
        <v>16</v>
      </c>
      <c r="E93" s="348">
        <v>0</v>
      </c>
      <c r="F93" s="348">
        <v>0</v>
      </c>
      <c r="G93" s="348">
        <v>0</v>
      </c>
      <c r="H93" s="348">
        <v>0</v>
      </c>
      <c r="I93" s="348">
        <v>0</v>
      </c>
      <c r="K93" s="73">
        <v>0.28999999999999998</v>
      </c>
      <c r="L93" s="73">
        <f t="shared" si="7"/>
        <v>3.4482758620689657</v>
      </c>
    </row>
    <row r="94" spans="1:17">
      <c r="D94" s="2" t="s">
        <v>18</v>
      </c>
      <c r="E94" s="348">
        <v>0</v>
      </c>
      <c r="F94" s="348">
        <v>0</v>
      </c>
      <c r="G94" s="348">
        <v>0</v>
      </c>
      <c r="H94" s="348">
        <v>0</v>
      </c>
      <c r="I94" s="348">
        <v>0</v>
      </c>
      <c r="K94" s="73">
        <f>IF(H94=1,0.083,IF(H94=2,0.154,IF(H94=3,0.214,IF(H94=4,0.286,IF(H94=5,0.0357,IF(H94=6,0.429,IF(H94=7,0.5,IF(H94=8,0.571,IF(H94=9,0.643,IF(H94=10,0.714,IF(H94&gt;10,0.714,0)))))))))))</f>
        <v>0</v>
      </c>
      <c r="L94" s="73">
        <f t="shared" si="7"/>
        <v>0</v>
      </c>
    </row>
    <row r="95" spans="1:17">
      <c r="D95" s="2" t="s">
        <v>17</v>
      </c>
      <c r="E95" s="348">
        <v>0</v>
      </c>
      <c r="F95" s="348">
        <v>0</v>
      </c>
      <c r="G95" s="348">
        <v>0</v>
      </c>
      <c r="H95" s="348">
        <v>0</v>
      </c>
      <c r="I95" s="348">
        <v>0</v>
      </c>
      <c r="K95" s="73">
        <v>3</v>
      </c>
      <c r="L95" s="73">
        <f t="shared" si="7"/>
        <v>0.33333333333333331</v>
      </c>
    </row>
    <row r="96" spans="1:17">
      <c r="D96" s="2" t="s">
        <v>70</v>
      </c>
      <c r="E96" s="348">
        <v>0</v>
      </c>
      <c r="F96" s="348">
        <v>0</v>
      </c>
      <c r="G96" s="348">
        <v>0</v>
      </c>
      <c r="H96" s="348">
        <v>0</v>
      </c>
      <c r="I96" s="348">
        <v>0</v>
      </c>
      <c r="K96" s="73">
        <v>0.87</v>
      </c>
      <c r="L96" s="73">
        <f t="shared" si="7"/>
        <v>1.1494252873563218</v>
      </c>
    </row>
    <row r="97" spans="4:12">
      <c r="D97" s="2" t="s">
        <v>21</v>
      </c>
      <c r="E97" s="348">
        <v>0</v>
      </c>
      <c r="F97" s="348">
        <v>0</v>
      </c>
      <c r="G97" s="348">
        <v>0</v>
      </c>
      <c r="H97" s="348">
        <v>0</v>
      </c>
      <c r="I97" s="348">
        <v>0</v>
      </c>
      <c r="K97" s="73">
        <v>0.62</v>
      </c>
      <c r="L97" s="73">
        <f t="shared" si="7"/>
        <v>1.6129032258064517</v>
      </c>
    </row>
    <row r="98" spans="4:12">
      <c r="D98" s="2" t="s">
        <v>28</v>
      </c>
      <c r="E98" s="348">
        <v>0</v>
      </c>
      <c r="F98" s="348">
        <v>0</v>
      </c>
      <c r="G98" s="348">
        <v>0</v>
      </c>
      <c r="H98" s="348">
        <v>0</v>
      </c>
      <c r="I98" s="348">
        <v>0</v>
      </c>
      <c r="K98" s="73">
        <v>0.78</v>
      </c>
      <c r="L98" s="73">
        <f t="shared" si="7"/>
        <v>1.2820512820512819</v>
      </c>
    </row>
    <row r="99" spans="4:12">
      <c r="D99" s="2" t="s">
        <v>71</v>
      </c>
      <c r="E99" s="348">
        <v>0</v>
      </c>
      <c r="F99" s="348">
        <v>0</v>
      </c>
      <c r="G99" s="348">
        <v>0</v>
      </c>
      <c r="H99" s="348">
        <v>0</v>
      </c>
      <c r="I99" s="348">
        <v>0</v>
      </c>
      <c r="K99" s="73">
        <v>0.1</v>
      </c>
      <c r="L99" s="73">
        <f t="shared" si="7"/>
        <v>10</v>
      </c>
    </row>
    <row r="100" spans="4:12">
      <c r="D100" s="2" t="s">
        <v>72</v>
      </c>
      <c r="E100" s="348">
        <v>0</v>
      </c>
      <c r="F100" s="348">
        <v>0</v>
      </c>
      <c r="G100" s="348">
        <v>0</v>
      </c>
      <c r="H100" s="348">
        <v>0</v>
      </c>
      <c r="I100" s="348">
        <v>0</v>
      </c>
      <c r="K100" s="73">
        <v>1.28</v>
      </c>
      <c r="L100" s="73">
        <f t="shared" si="7"/>
        <v>0.78125</v>
      </c>
    </row>
    <row r="101" spans="4:12">
      <c r="D101" s="2" t="s">
        <v>73</v>
      </c>
      <c r="E101" s="348">
        <v>0</v>
      </c>
      <c r="F101" s="348">
        <v>0</v>
      </c>
      <c r="G101" s="348">
        <v>0</v>
      </c>
      <c r="H101" s="348">
        <v>0</v>
      </c>
      <c r="I101" s="348">
        <v>0</v>
      </c>
      <c r="K101" s="73">
        <v>0.21</v>
      </c>
      <c r="L101" s="73">
        <f t="shared" si="7"/>
        <v>4.7619047619047619</v>
      </c>
    </row>
    <row r="102" spans="4:12">
      <c r="D102" s="2" t="s">
        <v>74</v>
      </c>
      <c r="E102" s="348">
        <v>0</v>
      </c>
      <c r="F102" s="348">
        <v>0</v>
      </c>
      <c r="G102" s="348">
        <v>0</v>
      </c>
      <c r="H102" s="348">
        <v>0</v>
      </c>
      <c r="I102" s="348">
        <v>0</v>
      </c>
      <c r="K102" s="73">
        <v>0.14000000000000001</v>
      </c>
      <c r="L102" s="73">
        <f t="shared" si="7"/>
        <v>7.1428571428571423</v>
      </c>
    </row>
    <row r="103" spans="4:12">
      <c r="D103" s="2" t="s">
        <v>75</v>
      </c>
      <c r="E103" s="348">
        <v>0</v>
      </c>
      <c r="F103" s="348">
        <v>0</v>
      </c>
      <c r="G103" s="348">
        <v>0</v>
      </c>
      <c r="H103" s="348">
        <v>0</v>
      </c>
      <c r="I103" s="348">
        <v>0</v>
      </c>
      <c r="K103" s="73">
        <v>0.14000000000000001</v>
      </c>
      <c r="L103" s="73">
        <f t="shared" si="7"/>
        <v>7.1428571428571423</v>
      </c>
    </row>
    <row r="104" spans="4:12">
      <c r="D104" s="14" t="s">
        <v>76</v>
      </c>
      <c r="E104" s="348">
        <v>0</v>
      </c>
      <c r="F104" s="348">
        <v>0</v>
      </c>
      <c r="G104" s="348">
        <v>0</v>
      </c>
      <c r="H104" s="348">
        <v>0</v>
      </c>
      <c r="I104" s="348">
        <v>0</v>
      </c>
      <c r="K104" s="73">
        <v>1.4</v>
      </c>
      <c r="L104" s="73">
        <f t="shared" si="7"/>
        <v>0.7142857142857143</v>
      </c>
    </row>
    <row r="105" spans="4:12">
      <c r="D105" s="14" t="s">
        <v>23</v>
      </c>
      <c r="E105" s="348">
        <v>0</v>
      </c>
      <c r="F105" s="348">
        <v>0</v>
      </c>
      <c r="G105" s="348">
        <v>0</v>
      </c>
      <c r="H105" s="348">
        <v>0</v>
      </c>
      <c r="I105" s="348">
        <v>0</v>
      </c>
      <c r="K105" s="73">
        <v>0.99</v>
      </c>
      <c r="L105" s="73">
        <f t="shared" si="7"/>
        <v>1.0101010101010102</v>
      </c>
    </row>
    <row r="106" spans="4:12">
      <c r="D106" s="14" t="s">
        <v>24</v>
      </c>
      <c r="E106" s="348">
        <v>0</v>
      </c>
      <c r="F106" s="348">
        <v>0</v>
      </c>
      <c r="G106" s="348">
        <v>0</v>
      </c>
      <c r="H106" s="348">
        <v>0</v>
      </c>
      <c r="I106" s="348">
        <v>0</v>
      </c>
      <c r="K106" s="73">
        <v>53.5</v>
      </c>
      <c r="L106" s="73">
        <f t="shared" si="7"/>
        <v>1.8691588785046728E-2</v>
      </c>
    </row>
    <row r="107" spans="4:12">
      <c r="D107" s="14" t="s">
        <v>25</v>
      </c>
      <c r="E107" s="348">
        <v>0</v>
      </c>
      <c r="F107" s="348">
        <v>0</v>
      </c>
      <c r="G107" s="348">
        <v>0</v>
      </c>
      <c r="H107" s="348">
        <v>0</v>
      </c>
      <c r="I107" s="348">
        <v>0</v>
      </c>
      <c r="K107" s="73">
        <v>0.14000000000000001</v>
      </c>
      <c r="L107" s="73">
        <f t="shared" si="7"/>
        <v>7.1428571428571423</v>
      </c>
    </row>
    <row r="108" spans="4:12">
      <c r="D108" s="14" t="s">
        <v>26</v>
      </c>
      <c r="E108" s="348">
        <v>0</v>
      </c>
      <c r="F108" s="348">
        <v>0</v>
      </c>
      <c r="G108" s="348">
        <v>0</v>
      </c>
      <c r="H108" s="348">
        <v>0</v>
      </c>
      <c r="I108" s="348">
        <v>0</v>
      </c>
      <c r="K108" s="73">
        <v>0.14000000000000001</v>
      </c>
      <c r="L108" s="73">
        <f t="shared" si="7"/>
        <v>7.1428571428571423</v>
      </c>
    </row>
    <row r="109" spans="4:12">
      <c r="D109" s="14" t="s">
        <v>27</v>
      </c>
      <c r="E109" s="348">
        <v>0</v>
      </c>
      <c r="F109" s="348">
        <v>0</v>
      </c>
      <c r="G109" s="348">
        <v>0</v>
      </c>
      <c r="H109" s="348">
        <v>0</v>
      </c>
      <c r="I109" s="348">
        <v>0</v>
      </c>
      <c r="K109" s="73">
        <v>0.19</v>
      </c>
      <c r="L109" s="73">
        <f t="shared" si="7"/>
        <v>5.2631578947368425</v>
      </c>
    </row>
    <row r="110" spans="4:12">
      <c r="D110" s="14" t="s">
        <v>78</v>
      </c>
      <c r="E110" s="348">
        <v>0</v>
      </c>
      <c r="F110" s="348">
        <v>0</v>
      </c>
      <c r="G110" s="348">
        <v>0</v>
      </c>
      <c r="H110" s="348">
        <v>0</v>
      </c>
      <c r="I110" s="348">
        <v>0</v>
      </c>
      <c r="K110" s="73">
        <v>0.21</v>
      </c>
      <c r="L110" s="73">
        <f t="shared" si="7"/>
        <v>4.7619047619047619</v>
      </c>
    </row>
    <row r="111" spans="4:12">
      <c r="D111" s="14" t="s">
        <v>82</v>
      </c>
      <c r="E111" s="348">
        <v>0</v>
      </c>
      <c r="F111" s="348">
        <v>0</v>
      </c>
      <c r="G111" s="348">
        <v>0</v>
      </c>
      <c r="H111" s="348">
        <v>0</v>
      </c>
      <c r="I111" s="348">
        <v>0</v>
      </c>
      <c r="K111" s="73">
        <v>4.1000000000000002E-2</v>
      </c>
      <c r="L111" s="73">
        <f t="shared" si="7"/>
        <v>24.390243902439025</v>
      </c>
    </row>
    <row r="112" spans="4:12">
      <c r="D112" s="14" t="s">
        <v>83</v>
      </c>
      <c r="E112" s="348">
        <v>0</v>
      </c>
      <c r="F112" s="348">
        <v>0</v>
      </c>
      <c r="G112" s="348">
        <v>0</v>
      </c>
      <c r="H112" s="348">
        <v>0</v>
      </c>
      <c r="I112" s="348">
        <v>0</v>
      </c>
      <c r="K112" s="73">
        <v>3.5999999999999997E-2</v>
      </c>
      <c r="L112" s="73">
        <f t="shared" si="7"/>
        <v>27.777777777777779</v>
      </c>
    </row>
    <row r="113" spans="1:16">
      <c r="D113" s="14" t="s">
        <v>84</v>
      </c>
      <c r="E113" s="348">
        <v>0</v>
      </c>
      <c r="F113" s="348">
        <v>0</v>
      </c>
      <c r="G113" s="348">
        <v>0</v>
      </c>
      <c r="H113" s="348">
        <v>0</v>
      </c>
      <c r="I113" s="348">
        <v>0</v>
      </c>
      <c r="K113" s="73">
        <v>4.1000000000000002E-2</v>
      </c>
      <c r="L113" s="73">
        <f t="shared" si="7"/>
        <v>24.390243902439025</v>
      </c>
    </row>
    <row r="114" spans="1:16">
      <c r="D114" s="2" t="s">
        <v>20</v>
      </c>
      <c r="E114" s="348">
        <v>0</v>
      </c>
      <c r="F114" s="348">
        <v>0</v>
      </c>
      <c r="G114" s="348">
        <v>0</v>
      </c>
      <c r="H114" s="348">
        <v>0</v>
      </c>
      <c r="I114" s="348">
        <v>0</v>
      </c>
      <c r="K114" s="73"/>
      <c r="L114" s="73">
        <f t="shared" si="7"/>
        <v>0</v>
      </c>
    </row>
    <row r="115" spans="1:16">
      <c r="D115" s="2" t="s">
        <v>20</v>
      </c>
      <c r="E115" s="348">
        <v>0</v>
      </c>
      <c r="F115" s="348">
        <v>0</v>
      </c>
      <c r="G115" s="348">
        <v>0</v>
      </c>
      <c r="H115" s="348">
        <v>0</v>
      </c>
      <c r="I115" s="348">
        <v>0</v>
      </c>
      <c r="K115" s="73"/>
      <c r="L115" s="73">
        <f t="shared" si="7"/>
        <v>0</v>
      </c>
    </row>
    <row r="116" spans="1:16" ht="31.2" customHeight="1">
      <c r="A116" s="352" t="s">
        <v>77</v>
      </c>
      <c r="B116" s="352"/>
      <c r="C116" s="352"/>
      <c r="D116" s="353"/>
      <c r="E116" s="75">
        <v>0</v>
      </c>
      <c r="F116" s="75">
        <v>0</v>
      </c>
      <c r="G116" s="75">
        <v>0</v>
      </c>
      <c r="H116" s="75">
        <v>0</v>
      </c>
      <c r="I116" s="75">
        <v>0</v>
      </c>
      <c r="K116" s="73">
        <v>0.55000000000000004</v>
      </c>
      <c r="L116" s="73">
        <f t="shared" si="7"/>
        <v>1.8181818181818181</v>
      </c>
    </row>
    <row r="117" spans="1:16" ht="15" thickBot="1">
      <c r="A117" s="285"/>
      <c r="B117" s="285"/>
      <c r="C117" s="285"/>
      <c r="D117" s="285"/>
      <c r="E117" s="286" t="str">
        <f>IF(   $K$15,   IF(   E116=0,   IF(   SUM(E87:E115)=0,   "УНОС ДЕБЉИНЕ",   ""   ),   IF(   SUM(E87:E115)&lt;&gt;0,   "ПРОВЕРА УНОСА",  ""   )   ),   ""   )</f>
        <v/>
      </c>
      <c r="F117" s="286" t="str">
        <f>IF(   $K$15,   IF(   F116=0,   IF(   SUM(F87:F115)=0,   "УНОС ДЕБЉИНЕ",   ""   ),   IF(   SUM(F87:F115)&lt;&gt;0,   "ПРОВЕРА УНОСА",  ""   )   ),   ""   )</f>
        <v/>
      </c>
      <c r="G117" s="286" t="str">
        <f>IF(   $K$16,   IF(   G116=0,   IF(   SUM(G87:G115)=0,   "УНОС ДЕБЉИНЕ",   ""   ),   IF(   SUM(G87:G115)&lt;&gt;0,   "ПРОВЕРА УНОСА",  ""   )   ),   ""   )</f>
        <v/>
      </c>
      <c r="H117" s="286" t="str">
        <f t="shared" ref="H117:I117" si="8">IF(   $K$16,   IF(   H116=0,   IF(   SUM(H87:H115)=0,   "УНОС ДЕБЉИНЕ",   ""   ),   IF(   SUM(H87:H115)&lt;&gt;0,   "ПРОВЕРА УНОСА",  ""   )   ),   ""   )</f>
        <v/>
      </c>
      <c r="I117" s="286" t="str">
        <f t="shared" si="8"/>
        <v/>
      </c>
      <c r="K117" s="73"/>
      <c r="L117" s="73"/>
    </row>
    <row r="118" spans="1:16" ht="15" thickBot="1">
      <c r="A118" s="272"/>
      <c r="B118" s="252"/>
      <c r="C118" s="273"/>
      <c r="D118" s="252" t="s">
        <v>402</v>
      </c>
      <c r="E118" s="225"/>
      <c r="F118" s="225"/>
      <c r="G118" s="225"/>
      <c r="H118" s="225"/>
      <c r="I118" s="225"/>
      <c r="J118" s="272"/>
      <c r="K118" s="73"/>
      <c r="L118" s="73"/>
      <c r="M118" s="246" t="str">
        <f>IF($K$15,IF(SUM(E118:G118)=0,"ВРЕДНОСТ ИНВЕСТИЦИЈЕ ?",""),"")</f>
        <v/>
      </c>
      <c r="P118" s="246" t="str">
        <f>IF($K$16,IF(SUM(H118:I118)=0,"ВРЕДНОСТ ИНВЕСТИЦИЈЕ ?",""),"")</f>
        <v/>
      </c>
    </row>
    <row r="119" spans="1:16" ht="16.8" thickBot="1">
      <c r="A119" s="272"/>
      <c r="B119" s="252"/>
      <c r="C119" s="273"/>
      <c r="D119" s="252" t="s">
        <v>503</v>
      </c>
      <c r="E119" s="75"/>
      <c r="F119" s="75"/>
      <c r="G119" s="75"/>
      <c r="H119" s="75"/>
      <c r="I119" s="75"/>
      <c r="J119" s="272"/>
      <c r="K119" s="73"/>
      <c r="L119" s="73"/>
      <c r="M119" s="246" t="str">
        <f>IF($K$15,IF(SUM(E119:G119)=0,"ПОВРШИНА ?",""),"")</f>
        <v/>
      </c>
      <c r="P119" s="246" t="str">
        <f>IF($K$16,IF(SUM(H119:I119)=0,"ПОВРШИНА ?",""),"")</f>
        <v/>
      </c>
    </row>
    <row r="120" spans="1:16" ht="15" thickBot="1">
      <c r="A120" s="272"/>
      <c r="B120" s="252"/>
      <c r="C120" s="273"/>
      <c r="D120" s="252" t="s">
        <v>400</v>
      </c>
      <c r="E120" s="75"/>
      <c r="F120" s="75"/>
      <c r="G120" s="75"/>
      <c r="H120" s="75"/>
      <c r="I120" s="75"/>
      <c r="J120" s="272"/>
      <c r="K120" s="73"/>
      <c r="L120" s="73"/>
      <c r="M120" s="246" t="str">
        <f>IF($K$15,IF(SUM(E120:G120)=0,"ДЕБЉИНА ИЗОЛАЦИЈЕ ?",""),"")</f>
        <v/>
      </c>
      <c r="P120" s="246" t="str">
        <f>IF($K$16,IF(SUM(H120:I120)=0,"ДЕБЉИНА ИЗОЛАЦИЈЕ ?",""),"")</f>
        <v/>
      </c>
    </row>
    <row r="121" spans="1:16" ht="15" thickBot="1">
      <c r="A121" s="272"/>
      <c r="B121" s="252"/>
      <c r="C121" s="273"/>
      <c r="D121" s="287" t="s">
        <v>444</v>
      </c>
      <c r="E121" s="75"/>
      <c r="F121" s="75"/>
      <c r="G121" s="75"/>
      <c r="H121" s="75"/>
      <c r="I121" s="75"/>
      <c r="J121" s="272"/>
      <c r="K121" s="73"/>
      <c r="L121" s="73"/>
      <c r="M121" s="246" t="str">
        <f>IF($K$15,IF(SUM(E121:G121)=0,"КОЕФИЦИЈЕНТ ПРОВОЂЕЊА ТОПЛОТЕ ?",""),"")</f>
        <v/>
      </c>
      <c r="P121" s="246" t="str">
        <f>IF($K$16,IF(SUM(H121:I121)=0,"КОЕФИЦИЈЕНТ ПРОВОЂЕЊА ТОПЛОТЕ ?",""),"")</f>
        <v/>
      </c>
    </row>
    <row r="122" spans="1:16">
      <c r="A122" s="272"/>
      <c r="B122" s="252"/>
      <c r="C122" s="273"/>
      <c r="D122" s="252" t="s">
        <v>34</v>
      </c>
      <c r="E122" s="349"/>
      <c r="F122" s="349"/>
      <c r="G122" s="349"/>
      <c r="H122" s="349"/>
      <c r="I122" s="349"/>
      <c r="J122" s="272"/>
      <c r="K122" s="355" t="s">
        <v>526</v>
      </c>
      <c r="L122" s="356"/>
    </row>
    <row r="123" spans="1:16">
      <c r="A123" s="272"/>
      <c r="B123" s="252"/>
      <c r="C123" s="273"/>
      <c r="D123" s="252" t="s">
        <v>35</v>
      </c>
      <c r="E123" s="349"/>
      <c r="F123" s="349"/>
      <c r="G123" s="349"/>
      <c r="H123" s="349"/>
      <c r="I123" s="349"/>
      <c r="J123" s="272"/>
      <c r="K123" s="263" t="s">
        <v>527</v>
      </c>
      <c r="L123" s="264" t="s">
        <v>362</v>
      </c>
    </row>
    <row r="124" spans="1:16" ht="15" thickBot="1">
      <c r="K124" s="265">
        <f>IF(E119&gt;0,E118,0)+IF(F119&gt;0,F118,0)+IF(G119&gt;0,G118,0)</f>
        <v>0</v>
      </c>
      <c r="L124" s="266">
        <f>IF(H119&gt;0,H118,0)+IF(I119&gt;0,I118,0)</f>
        <v>0</v>
      </c>
    </row>
    <row r="125" spans="1:16">
      <c r="A125" s="11">
        <v>3</v>
      </c>
      <c r="B125" s="274" t="s">
        <v>80</v>
      </c>
      <c r="K125" s="73"/>
      <c r="L125" s="73"/>
    </row>
    <row r="126" spans="1:16" ht="15" thickBot="1">
      <c r="A126" s="11"/>
      <c r="B126" s="274" t="s">
        <v>81</v>
      </c>
      <c r="K126" s="73"/>
      <c r="L126" s="73"/>
    </row>
    <row r="127" spans="1:16" ht="15" thickBot="1">
      <c r="A127" s="272"/>
      <c r="B127" s="252" t="s">
        <v>402</v>
      </c>
      <c r="C127" s="230"/>
      <c r="D127" s="272"/>
      <c r="E127" s="272"/>
      <c r="F127" s="272"/>
      <c r="G127" s="272"/>
      <c r="H127" s="272"/>
      <c r="I127" s="272"/>
      <c r="J127" s="272"/>
      <c r="K127" s="73"/>
      <c r="L127" s="73"/>
      <c r="M127" s="246" t="str">
        <f>IF(OR($K$17,$K$18,$K$19),IF(C127=0,"ВРЕДНОСТ ИНВЕСТИЦИЈЕ ?",""),"")</f>
        <v/>
      </c>
    </row>
    <row r="128" spans="1:16">
      <c r="A128" s="272"/>
      <c r="B128" s="288" t="s">
        <v>38</v>
      </c>
      <c r="C128" s="272"/>
      <c r="D128" s="272"/>
      <c r="E128" s="272"/>
      <c r="F128" s="272"/>
      <c r="G128" s="272"/>
      <c r="H128" s="272"/>
      <c r="I128" s="272"/>
      <c r="J128" s="272"/>
      <c r="K128" s="73"/>
      <c r="L128" s="73"/>
    </row>
    <row r="129" spans="1:16">
      <c r="A129" s="272"/>
      <c r="B129" s="252" t="s">
        <v>34</v>
      </c>
      <c r="C129" s="350"/>
      <c r="D129" s="280"/>
      <c r="E129" s="272"/>
      <c r="F129" s="272"/>
      <c r="G129" s="272"/>
      <c r="H129" s="272"/>
      <c r="I129" s="272"/>
      <c r="J129" s="272"/>
      <c r="K129" s="73"/>
      <c r="L129" s="73"/>
    </row>
    <row r="130" spans="1:16" ht="15" thickBot="1">
      <c r="A130" s="272"/>
      <c r="B130" s="252" t="s">
        <v>35</v>
      </c>
      <c r="C130" s="350"/>
      <c r="D130" s="281"/>
      <c r="E130" s="272"/>
      <c r="F130" s="272"/>
      <c r="G130" s="272"/>
      <c r="H130" s="272"/>
      <c r="I130" s="272"/>
      <c r="J130" s="272"/>
      <c r="K130" s="73"/>
      <c r="L130" s="73"/>
      <c r="P130" t="s">
        <v>564</v>
      </c>
    </row>
    <row r="131" spans="1:16" ht="15" thickBot="1">
      <c r="A131" s="272"/>
      <c r="B131" s="252" t="s">
        <v>36</v>
      </c>
      <c r="C131" s="230"/>
      <c r="D131" s="273" t="s">
        <v>1</v>
      </c>
      <c r="E131" s="272"/>
      <c r="F131" s="272"/>
      <c r="G131" s="272"/>
      <c r="H131" s="272"/>
      <c r="I131" s="272"/>
      <c r="J131" s="272"/>
      <c r="K131" s="73"/>
      <c r="L131" s="73"/>
      <c r="M131" s="246" t="str">
        <f>IF(OR($K$17,$K$18,$K$19),IF(C131=0,"СНАГА ТОПЛОТНОГ ИЗВОРА ?",""),"")</f>
        <v/>
      </c>
      <c r="P131" s="10" t="s">
        <v>565</v>
      </c>
    </row>
    <row r="132" spans="1:16" ht="15" thickBot="1">
      <c r="A132" s="272"/>
      <c r="B132" s="252" t="s">
        <v>37</v>
      </c>
      <c r="C132" s="253"/>
      <c r="D132" s="273" t="s">
        <v>85</v>
      </c>
      <c r="E132" s="272"/>
      <c r="F132" s="272"/>
      <c r="G132" s="272"/>
      <c r="H132" s="272"/>
      <c r="I132" s="272"/>
      <c r="J132" s="272"/>
      <c r="K132" s="73"/>
      <c r="L132" s="73"/>
      <c r="M132" s="246" t="str">
        <f>IF(OR($K$17,$K$18),IF(C132=0,"СТЕПЕН КОРИСНОСТИ ТОПЛОТНОГ ИЗВОРА ?",""),"")</f>
        <v/>
      </c>
      <c r="P132" s="10" t="s">
        <v>566</v>
      </c>
    </row>
    <row r="133" spans="1:16" ht="15" thickBot="1">
      <c r="A133" s="272"/>
      <c r="B133" s="252" t="s">
        <v>563</v>
      </c>
      <c r="C133" s="251"/>
      <c r="D133" s="273"/>
      <c r="E133" s="272"/>
      <c r="F133" s="272"/>
      <c r="G133" s="272"/>
      <c r="H133" s="272"/>
      <c r="I133" s="272"/>
      <c r="J133" s="272"/>
      <c r="K133" s="73"/>
      <c r="L133" s="73"/>
      <c r="M133" s="246" t="str">
        <f>IF($K$19,IF(C133=0,"КОЕФИЦИЈЕНТ ГРЕЈАЊА ТОПЛОТНЕ ПУМПЕ ?",""),"")</f>
        <v/>
      </c>
      <c r="P133" s="10" t="s">
        <v>567</v>
      </c>
    </row>
    <row r="134" spans="1:16" ht="15" thickBot="1">
      <c r="A134" s="272"/>
      <c r="B134" s="252" t="s">
        <v>564</v>
      </c>
      <c r="C134" s="251"/>
      <c r="D134" s="273"/>
      <c r="E134" s="272"/>
      <c r="F134" s="272"/>
      <c r="G134" s="272"/>
      <c r="H134" s="272"/>
      <c r="I134" s="272"/>
      <c r="J134" s="272"/>
      <c r="K134" s="73"/>
      <c r="L134" s="73"/>
      <c r="M134" s="246" t="str">
        <f>IF($K$19,IF(C134=0,"ТИП ТОПЛОТНЕ ПУМПЕ ?",""),"")</f>
        <v/>
      </c>
      <c r="P134" s="10" t="s">
        <v>568</v>
      </c>
    </row>
    <row r="135" spans="1:16" ht="28.95" customHeight="1">
      <c r="A135" s="11">
        <v>4</v>
      </c>
      <c r="B135" s="274" t="s">
        <v>39</v>
      </c>
      <c r="K135" s="73"/>
      <c r="L135" s="73"/>
    </row>
    <row r="136" spans="1:16">
      <c r="B136" s="3" t="s">
        <v>50</v>
      </c>
      <c r="K136" s="73"/>
      <c r="L136" s="73"/>
    </row>
    <row r="137" spans="1:16">
      <c r="A137" s="2"/>
      <c r="B137" t="s">
        <v>52</v>
      </c>
      <c r="C137" t="str">
        <f>IF(K138,"нема инсталације",IF(K139,"двоцевно",IF(K140,"једноцевно",IF(K141,"подно",""))))</f>
        <v/>
      </c>
      <c r="K137" s="267" t="str">
        <f>IF(K138,"нема инсталације",IF(K139,"двоцевно",IF(K140,"једноцевно",IF(K141,"подно",""))))</f>
        <v/>
      </c>
      <c r="L137" s="73"/>
    </row>
    <row r="138" spans="1:16">
      <c r="B138" s="344"/>
      <c r="C138" s="289" t="s">
        <v>51</v>
      </c>
      <c r="K138" s="73" t="b">
        <v>0</v>
      </c>
      <c r="L138" s="73"/>
    </row>
    <row r="139" spans="1:16">
      <c r="B139" s="344"/>
      <c r="C139" t="s">
        <v>41</v>
      </c>
      <c r="K139" s="73" t="b">
        <v>0</v>
      </c>
      <c r="L139" s="73"/>
    </row>
    <row r="140" spans="1:16">
      <c r="B140" s="344"/>
      <c r="C140" t="s">
        <v>42</v>
      </c>
      <c r="K140" s="73" t="b">
        <v>0</v>
      </c>
      <c r="L140" s="73"/>
    </row>
    <row r="141" spans="1:16">
      <c r="B141" s="344"/>
      <c r="C141" t="s">
        <v>40</v>
      </c>
      <c r="K141" s="73" t="b">
        <v>0</v>
      </c>
      <c r="L141" s="73"/>
    </row>
    <row r="142" spans="1:16">
      <c r="B142" s="290" t="s">
        <v>516</v>
      </c>
      <c r="I142" s="268"/>
      <c r="J142" s="268"/>
      <c r="K142" s="73" t="b">
        <v>0</v>
      </c>
      <c r="L142" s="73"/>
    </row>
    <row r="143" spans="1:16">
      <c r="A143" s="2"/>
      <c r="B143" t="s">
        <v>519</v>
      </c>
      <c r="K143" s="73" t="b">
        <v>0</v>
      </c>
      <c r="L143" s="73"/>
    </row>
    <row r="144" spans="1:16">
      <c r="K144" s="267" t="str">
        <f>IF(K145,"нема регулације",IF(K146,"аутоматска централна",IF(K147,"аутоматска локална","")))</f>
        <v/>
      </c>
      <c r="L144" s="73"/>
    </row>
    <row r="145" spans="1:13">
      <c r="B145" s="344"/>
      <c r="C145" t="s">
        <v>570</v>
      </c>
      <c r="K145" s="73" t="b">
        <v>0</v>
      </c>
      <c r="L145" s="73"/>
    </row>
    <row r="146" spans="1:13">
      <c r="B146" s="344"/>
      <c r="C146" t="s">
        <v>572</v>
      </c>
      <c r="K146" s="73" t="b">
        <v>0</v>
      </c>
      <c r="L146" s="73"/>
    </row>
    <row r="147" spans="1:13">
      <c r="B147" s="344"/>
      <c r="C147" t="s">
        <v>571</v>
      </c>
      <c r="K147" s="73" t="b">
        <v>0</v>
      </c>
      <c r="L147" s="73"/>
    </row>
    <row r="148" spans="1:13" ht="15" thickBot="1">
      <c r="A148" s="272"/>
      <c r="B148" s="288" t="s">
        <v>515</v>
      </c>
      <c r="C148" s="273"/>
      <c r="D148" s="273"/>
      <c r="E148" s="272"/>
      <c r="F148" s="272"/>
      <c r="G148" s="272"/>
      <c r="H148" s="272"/>
      <c r="I148" s="272"/>
      <c r="J148" s="272"/>
      <c r="K148" s="73"/>
      <c r="L148" s="73"/>
    </row>
    <row r="149" spans="1:13" ht="15" thickBot="1">
      <c r="A149" s="272"/>
      <c r="B149" s="252" t="s">
        <v>402</v>
      </c>
      <c r="C149" s="230"/>
      <c r="D149" s="272"/>
      <c r="E149" s="272"/>
      <c r="F149" s="272"/>
      <c r="G149" s="272"/>
      <c r="H149" s="272"/>
      <c r="I149" s="272"/>
      <c r="J149" s="272"/>
      <c r="K149" s="73"/>
      <c r="L149" s="73"/>
      <c r="M149" s="246" t="str">
        <f>IF($K$20,IF(C149=0,"ВРЕДНОСТ ИНВЕСТИЦИЈЕ ?",""),"")</f>
        <v/>
      </c>
    </row>
    <row r="150" spans="1:13">
      <c r="A150" s="272"/>
      <c r="B150" s="273" t="s">
        <v>52</v>
      </c>
      <c r="C150" s="273"/>
      <c r="D150" s="273"/>
      <c r="E150" s="272"/>
      <c r="F150" s="272"/>
      <c r="G150" s="272"/>
      <c r="H150" s="272"/>
      <c r="I150" s="272"/>
      <c r="J150" s="272"/>
      <c r="K150" s="267" t="str">
        <f>IF(K151,"двоцевно",IF(K152,"једноцевно",IF(K153,"подно","")))</f>
        <v/>
      </c>
      <c r="L150" s="73"/>
    </row>
    <row r="151" spans="1:13">
      <c r="A151" s="272"/>
      <c r="B151" s="344"/>
      <c r="C151" s="273" t="s">
        <v>41</v>
      </c>
      <c r="D151" s="273"/>
      <c r="E151" s="272"/>
      <c r="F151" s="272"/>
      <c r="G151" s="272"/>
      <c r="H151" s="272"/>
      <c r="I151" s="272"/>
      <c r="J151" s="272"/>
      <c r="K151" s="73" t="b">
        <v>0</v>
      </c>
      <c r="L151" s="73"/>
    </row>
    <row r="152" spans="1:13">
      <c r="A152" s="272"/>
      <c r="B152" s="344"/>
      <c r="C152" s="273" t="s">
        <v>42</v>
      </c>
      <c r="D152" s="273"/>
      <c r="E152" s="272"/>
      <c r="F152" s="272"/>
      <c r="G152" s="272"/>
      <c r="H152" s="272"/>
      <c r="I152" s="272"/>
      <c r="J152" s="272"/>
      <c r="K152" s="73" t="b">
        <v>0</v>
      </c>
      <c r="L152" s="73"/>
    </row>
    <row r="153" spans="1:13">
      <c r="A153" s="272"/>
      <c r="B153" s="344"/>
      <c r="C153" s="273" t="s">
        <v>40</v>
      </c>
      <c r="D153" s="273"/>
      <c r="E153" s="272"/>
      <c r="F153" s="272"/>
      <c r="G153" s="272"/>
      <c r="H153" s="272"/>
      <c r="I153" s="272"/>
      <c r="J153" s="272"/>
      <c r="K153" s="73" t="b">
        <v>0</v>
      </c>
      <c r="L153" s="73"/>
    </row>
    <row r="154" spans="1:13">
      <c r="A154" s="272"/>
      <c r="B154" s="273" t="s">
        <v>516</v>
      </c>
      <c r="C154" s="273"/>
      <c r="D154" s="273"/>
      <c r="E154" s="272"/>
      <c r="F154" s="272"/>
      <c r="G154" s="272"/>
      <c r="H154" s="272"/>
      <c r="I154" s="268"/>
      <c r="J154" s="268"/>
      <c r="K154" s="73" t="b">
        <v>0</v>
      </c>
      <c r="L154" s="73"/>
    </row>
    <row r="155" spans="1:13">
      <c r="A155" s="272"/>
      <c r="B155" s="273" t="s">
        <v>519</v>
      </c>
      <c r="C155" s="273"/>
      <c r="D155" s="273"/>
      <c r="E155" s="272"/>
      <c r="F155" s="272"/>
      <c r="G155" s="272"/>
      <c r="H155" s="272"/>
      <c r="I155" s="272"/>
      <c r="J155" s="272"/>
      <c r="K155" s="73" t="b">
        <v>0</v>
      </c>
      <c r="L155" s="73"/>
    </row>
    <row r="156" spans="1:13" hidden="1">
      <c r="A156" s="272"/>
      <c r="B156" s="272"/>
      <c r="C156" s="273"/>
      <c r="D156" s="272"/>
      <c r="E156" s="272"/>
      <c r="F156" s="272"/>
      <c r="G156" s="272"/>
      <c r="H156" s="272"/>
      <c r="I156" s="272"/>
      <c r="J156" s="272"/>
      <c r="K156" s="73"/>
      <c r="L156" s="73"/>
    </row>
    <row r="157" spans="1:13">
      <c r="A157" s="272"/>
      <c r="B157" s="273"/>
      <c r="C157" s="273"/>
      <c r="D157" s="273"/>
      <c r="E157" s="272"/>
      <c r="F157" s="272"/>
      <c r="G157" s="272"/>
      <c r="H157" s="272"/>
      <c r="I157" s="272"/>
      <c r="J157" s="272"/>
      <c r="K157" s="267" t="str">
        <f>IF(K158,"аутоматска централна",IF(K159,"аутоматска локална",""))</f>
        <v/>
      </c>
      <c r="L157" s="73"/>
    </row>
    <row r="158" spans="1:13">
      <c r="A158" s="272"/>
      <c r="B158" s="344"/>
      <c r="C158" s="272" t="s">
        <v>572</v>
      </c>
      <c r="D158" s="272"/>
      <c r="E158" s="272"/>
      <c r="F158" s="272"/>
      <c r="G158" s="272"/>
      <c r="H158" s="272"/>
      <c r="I158" s="272"/>
      <c r="J158" s="272"/>
      <c r="K158" s="73" t="b">
        <v>0</v>
      </c>
      <c r="L158" s="73"/>
    </row>
    <row r="159" spans="1:13">
      <c r="A159" s="272"/>
      <c r="B159" s="268"/>
      <c r="C159" s="272" t="s">
        <v>571</v>
      </c>
      <c r="D159" s="272"/>
      <c r="E159" s="272"/>
      <c r="F159" s="272"/>
      <c r="G159" s="272"/>
      <c r="H159" s="272"/>
      <c r="I159" s="272"/>
      <c r="J159" s="272"/>
      <c r="K159" s="73" t="b">
        <v>0</v>
      </c>
      <c r="L159" s="73"/>
    </row>
    <row r="160" spans="1:13">
      <c r="K160" s="73"/>
      <c r="L160" s="73"/>
    </row>
    <row r="161" spans="1:13">
      <c r="A161" s="11">
        <v>5</v>
      </c>
      <c r="B161" s="274" t="s">
        <v>43</v>
      </c>
      <c r="K161" s="73"/>
      <c r="L161" s="73"/>
    </row>
    <row r="162" spans="1:13" ht="15" thickBot="1">
      <c r="B162" t="s">
        <v>44</v>
      </c>
      <c r="K162" s="73"/>
      <c r="L162" s="73"/>
    </row>
    <row r="163" spans="1:13" ht="15" thickBot="1">
      <c r="B163" s="268"/>
      <c r="C163" t="s">
        <v>30</v>
      </c>
      <c r="K163" s="73" t="b">
        <v>0</v>
      </c>
      <c r="L163" s="73">
        <f>IF(K163,1,0)</f>
        <v>0</v>
      </c>
      <c r="M163" s="246" t="str">
        <f>IF($K$21,IF(SUM(L163:L169)&lt;&gt;1,"ЕНЕРГЕНТ ЗА ПРИПРЕМУ ПТВ ?",""),"")</f>
        <v/>
      </c>
    </row>
    <row r="164" spans="1:13">
      <c r="B164" s="268"/>
      <c r="C164" t="s">
        <v>29</v>
      </c>
      <c r="K164" s="73" t="b">
        <v>0</v>
      </c>
      <c r="L164" s="73">
        <f t="shared" ref="L164:L169" si="9">IF(K164,1,0)</f>
        <v>0</v>
      </c>
    </row>
    <row r="165" spans="1:13">
      <c r="B165" s="268"/>
      <c r="C165" t="s">
        <v>89</v>
      </c>
      <c r="K165" s="73" t="b">
        <v>0</v>
      </c>
      <c r="L165" s="73">
        <f t="shared" si="9"/>
        <v>0</v>
      </c>
    </row>
    <row r="166" spans="1:13">
      <c r="B166" s="268"/>
      <c r="C166" t="s">
        <v>31</v>
      </c>
      <c r="K166" s="73" t="b">
        <v>0</v>
      </c>
      <c r="L166" s="73">
        <f t="shared" si="9"/>
        <v>0</v>
      </c>
    </row>
    <row r="167" spans="1:13">
      <c r="B167" s="268"/>
      <c r="C167" t="s">
        <v>32</v>
      </c>
      <c r="K167" s="73" t="b">
        <v>0</v>
      </c>
      <c r="L167" s="73">
        <f t="shared" si="9"/>
        <v>0</v>
      </c>
    </row>
    <row r="168" spans="1:13">
      <c r="B168" s="268"/>
      <c r="C168" t="s">
        <v>33</v>
      </c>
      <c r="K168" s="73" t="b">
        <v>0</v>
      </c>
      <c r="L168" s="73">
        <f t="shared" si="9"/>
        <v>0</v>
      </c>
    </row>
    <row r="169" spans="1:13">
      <c r="B169" s="268"/>
      <c r="C169" t="s">
        <v>146</v>
      </c>
      <c r="K169" s="73" t="b">
        <v>0</v>
      </c>
      <c r="L169" s="73">
        <f t="shared" si="9"/>
        <v>0</v>
      </c>
    </row>
    <row r="170" spans="1:13">
      <c r="B170" t="s">
        <v>53</v>
      </c>
      <c r="F170" s="345"/>
      <c r="G170" t="s">
        <v>1</v>
      </c>
      <c r="K170" s="73"/>
      <c r="L170" s="73"/>
    </row>
    <row r="171" spans="1:13" ht="13.95" customHeight="1">
      <c r="B171" t="s">
        <v>54</v>
      </c>
      <c r="E171" s="12"/>
      <c r="F171" s="345"/>
      <c r="G171" t="s">
        <v>456</v>
      </c>
      <c r="K171" s="73"/>
      <c r="L171" s="73"/>
    </row>
    <row r="172" spans="1:13" ht="15" thickBot="1">
      <c r="B172" t="s">
        <v>49</v>
      </c>
      <c r="D172" s="12"/>
      <c r="E172" s="12"/>
      <c r="F172" s="345"/>
      <c r="K172" s="73"/>
      <c r="L172" s="73"/>
    </row>
    <row r="173" spans="1:13" ht="15" thickBot="1">
      <c r="A173" s="272"/>
      <c r="B173" s="252" t="s">
        <v>402</v>
      </c>
      <c r="C173" s="247"/>
      <c r="D173" s="272"/>
      <c r="E173" s="272"/>
      <c r="F173" s="272"/>
      <c r="G173" s="272"/>
      <c r="H173" s="272"/>
      <c r="I173" s="272"/>
      <c r="J173" s="272"/>
      <c r="K173" s="73"/>
      <c r="L173" s="73"/>
      <c r="M173" s="246" t="str">
        <f>IF($K$21,IF(C173=0,"ВРЕДНОСТ ИНВЕСТИЦИЈЕ ?",""),"")</f>
        <v/>
      </c>
    </row>
    <row r="174" spans="1:13">
      <c r="A174" s="272"/>
      <c r="B174" s="252" t="s">
        <v>45</v>
      </c>
      <c r="C174" s="273"/>
      <c r="D174" s="273"/>
      <c r="E174" s="272"/>
      <c r="F174" s="272"/>
      <c r="G174" s="272"/>
      <c r="H174" s="272"/>
      <c r="I174" s="272"/>
      <c r="J174" s="272"/>
      <c r="K174" s="73"/>
      <c r="L174" s="73"/>
    </row>
    <row r="175" spans="1:13">
      <c r="A175" s="272"/>
      <c r="B175" s="252" t="s">
        <v>34</v>
      </c>
      <c r="C175" s="346"/>
      <c r="D175" s="273"/>
      <c r="E175" s="272"/>
      <c r="F175" s="272"/>
      <c r="G175" s="272"/>
      <c r="H175" s="272"/>
      <c r="I175" s="272"/>
      <c r="J175" s="272"/>
      <c r="K175" s="73"/>
      <c r="L175" s="73"/>
    </row>
    <row r="176" spans="1:13" ht="15" thickBot="1">
      <c r="A176" s="272"/>
      <c r="B176" s="252" t="s">
        <v>35</v>
      </c>
      <c r="C176" s="346"/>
      <c r="D176" s="273"/>
      <c r="E176" s="272"/>
      <c r="F176" s="272"/>
      <c r="G176" s="272"/>
      <c r="H176" s="272"/>
      <c r="I176" s="272"/>
      <c r="J176" s="272"/>
      <c r="K176" s="73"/>
      <c r="L176" s="73"/>
    </row>
    <row r="177" spans="1:13" ht="16.8" thickBot="1">
      <c r="A177" s="272"/>
      <c r="B177" s="252" t="s">
        <v>493</v>
      </c>
      <c r="C177" s="247"/>
      <c r="D177" s="273" t="s">
        <v>292</v>
      </c>
      <c r="E177" s="272"/>
      <c r="F177" s="272"/>
      <c r="G177" s="272"/>
      <c r="H177" s="272"/>
      <c r="I177" s="272"/>
      <c r="J177" s="272"/>
      <c r="K177" s="73"/>
      <c r="L177" s="73"/>
      <c r="M177" s="246" t="str">
        <f>IF($K$21,IF(C177=0,"НЕТО ПОВРШИНА КОЛЕКТОРА ?",""),"")</f>
        <v/>
      </c>
    </row>
    <row r="178" spans="1:13" ht="15" thickBot="1">
      <c r="A178" s="272"/>
      <c r="B178" s="252" t="s">
        <v>37</v>
      </c>
      <c r="C178" s="249"/>
      <c r="D178" s="273" t="s">
        <v>85</v>
      </c>
      <c r="E178" s="272"/>
      <c r="F178" s="272"/>
      <c r="G178" s="272"/>
      <c r="H178" s="272"/>
      <c r="I178" s="272"/>
      <c r="J178" s="272"/>
      <c r="K178" s="73"/>
      <c r="L178" s="73"/>
      <c r="M178" s="246" t="str">
        <f>IF($K$21,IF(C178=0,"СТЕПЕН КОРИСНОСТИ КОЛЕКТОРА ?",""),"")</f>
        <v/>
      </c>
    </row>
    <row r="179" spans="1:13" ht="15" thickBot="1">
      <c r="K179" s="73"/>
      <c r="L179" s="73"/>
    </row>
    <row r="180" spans="1:13" ht="15" thickBot="1">
      <c r="A180" s="11">
        <v>6</v>
      </c>
      <c r="B180" s="274" t="s">
        <v>274</v>
      </c>
      <c r="K180" s="73"/>
      <c r="L180" s="73"/>
      <c r="M180" s="246" t="str">
        <f>IF(B181&lt;KALKULATOR!B292,"ИНСТАЛИРАНА СНАГА ЈЕ ВЕЋА ОД ОДОБРЕНЕ !","")</f>
        <v/>
      </c>
    </row>
    <row r="181" spans="1:13" ht="15" thickBot="1">
      <c r="A181" s="11"/>
      <c r="B181" s="72"/>
      <c r="C181" t="s">
        <v>275</v>
      </c>
      <c r="K181" s="73"/>
      <c r="L181" s="73"/>
      <c r="M181" s="246" t="str">
        <f>IF($K$22,IF(B181=0,"ОДОБРЕНА СНАГА ?",""),"")</f>
        <v/>
      </c>
    </row>
    <row r="182" spans="1:13" ht="15" thickBot="1">
      <c r="A182" s="291"/>
      <c r="B182" s="252" t="s">
        <v>299</v>
      </c>
      <c r="C182" s="230"/>
      <c r="D182" s="273" t="s">
        <v>198</v>
      </c>
      <c r="E182" s="272"/>
      <c r="F182" s="272"/>
      <c r="G182" s="272"/>
      <c r="H182" s="272"/>
      <c r="I182" s="272"/>
      <c r="J182" s="272"/>
      <c r="K182" s="73"/>
      <c r="L182" s="73"/>
      <c r="M182" s="246" t="str">
        <f>IF($K$22,IF(C182=0,"ГОДИШЊА ПОТРОШЊА ЕЛЕКТРИЧНЕ ЕНЕРГИЈЕ ?",""),"")</f>
        <v/>
      </c>
    </row>
    <row r="183" spans="1:13" ht="15" thickBot="1">
      <c r="A183" s="11"/>
      <c r="B183" s="292" t="s">
        <v>276</v>
      </c>
      <c r="K183" s="73"/>
      <c r="L183" s="73"/>
    </row>
    <row r="184" spans="1:13" ht="15" thickBot="1">
      <c r="A184" s="11"/>
      <c r="B184" s="268"/>
      <c r="C184" s="293" t="s">
        <v>87</v>
      </c>
      <c r="K184" s="73" t="b">
        <v>0</v>
      </c>
      <c r="L184" s="73">
        <f t="shared" ref="L184:L185" si="10">IF(K184,1,0)</f>
        <v>0</v>
      </c>
      <c r="M184" s="246" t="str">
        <f>IF($K$22,IF(SUM(L184:L185)&lt;&gt;1,"МЕСТО УГРАДЊЕ СОЛАРНИХ ПАНЕЛА ?",""),"")</f>
        <v/>
      </c>
    </row>
    <row r="185" spans="1:13" ht="15" thickBot="1">
      <c r="A185" s="11"/>
      <c r="B185" s="268"/>
      <c r="C185" s="293" t="s">
        <v>277</v>
      </c>
      <c r="K185" s="73" t="b">
        <v>0</v>
      </c>
      <c r="L185" s="73">
        <f t="shared" si="10"/>
        <v>0</v>
      </c>
    </row>
    <row r="186" spans="1:13" ht="15" thickBot="1">
      <c r="A186" s="272"/>
      <c r="B186" s="252" t="s">
        <v>498</v>
      </c>
      <c r="C186" s="230"/>
      <c r="D186" s="273" t="s">
        <v>499</v>
      </c>
      <c r="E186" s="272"/>
      <c r="F186" s="272"/>
      <c r="G186" s="272"/>
      <c r="H186" s="272"/>
      <c r="I186" s="272"/>
      <c r="J186" s="272"/>
      <c r="M186" s="246" t="str">
        <f>IF($K$22,IF(C186=0,"ВРЕДНОСТ ИНВЕСТИЦИЈЕ ?",""),"")</f>
        <v/>
      </c>
    </row>
    <row r="187" spans="1:13" ht="15" thickBot="1">
      <c r="A187" s="272"/>
      <c r="B187" s="252" t="s">
        <v>34</v>
      </c>
      <c r="C187" s="346"/>
      <c r="D187" s="273"/>
      <c r="E187" s="272"/>
      <c r="F187" s="272"/>
      <c r="G187" s="272"/>
      <c r="H187" s="272"/>
      <c r="I187" s="272"/>
      <c r="J187" s="272"/>
    </row>
    <row r="188" spans="1:13" ht="15" thickBot="1">
      <c r="A188" s="272"/>
      <c r="B188" s="252" t="s">
        <v>522</v>
      </c>
      <c r="C188" s="230"/>
      <c r="D188" s="273"/>
      <c r="E188" s="272"/>
      <c r="F188" s="272"/>
      <c r="G188" s="272"/>
      <c r="H188" s="272"/>
      <c r="I188" s="272"/>
      <c r="J188" s="272"/>
      <c r="M188" s="246" t="str">
        <f>IF($K$22,IF(C188=0,"ПОВРШИНА СОЛАРНИХ ПАНЕЛА ?",""),"")</f>
        <v/>
      </c>
    </row>
    <row r="189" spans="1:13" ht="15" thickBot="1">
      <c r="A189" s="272"/>
      <c r="B189" s="252" t="s">
        <v>520</v>
      </c>
      <c r="C189" s="251"/>
      <c r="D189" s="273" t="s">
        <v>521</v>
      </c>
      <c r="E189" s="273"/>
      <c r="F189" s="272"/>
      <c r="G189" s="272"/>
      <c r="H189" s="272"/>
      <c r="I189" s="272"/>
      <c r="J189" s="272"/>
      <c r="M189" s="246" t="str">
        <f>IF($K$22,IF(C189=0,"ЈЕДИНИЧНА МАКСИМАЛНА СНАГА СОЛАРНИХ ПАНЕЛА ?",""),"")</f>
        <v/>
      </c>
    </row>
    <row r="190" spans="1:13" ht="15" thickBot="1">
      <c r="A190" s="272"/>
      <c r="B190" s="252" t="s">
        <v>532</v>
      </c>
      <c r="C190" s="273" t="e">
        <f>VLOOKUP(C5,KALKULATOR!B328:G458,6,FALSE)</f>
        <v>#N/A</v>
      </c>
      <c r="D190" s="273"/>
      <c r="E190" s="273"/>
      <c r="F190" s="272"/>
      <c r="G190" s="272"/>
      <c r="H190" s="272"/>
      <c r="I190" s="272"/>
      <c r="J190" s="272"/>
      <c r="M190" s="246" t="str">
        <f>IF($K$22,IF(C190=0,"ОКРУГ ?",""),"")</f>
        <v/>
      </c>
    </row>
    <row r="191" spans="1:13">
      <c r="A191" s="11"/>
      <c r="B191" s="274"/>
    </row>
    <row r="192" spans="1:13">
      <c r="A192" s="11"/>
      <c r="B192" s="274"/>
    </row>
    <row r="193" spans="1:10">
      <c r="A193" s="11"/>
      <c r="B193" s="274"/>
    </row>
    <row r="194" spans="1:10">
      <c r="B194" s="260" t="s">
        <v>55</v>
      </c>
      <c r="C194" s="345"/>
      <c r="D194" s="345"/>
      <c r="E194" s="345"/>
      <c r="F194" s="345"/>
      <c r="G194" s="345"/>
      <c r="H194" s="345"/>
      <c r="I194" s="345"/>
      <c r="J194" s="345"/>
    </row>
    <row r="195" spans="1:10">
      <c r="B195" s="345"/>
      <c r="C195" s="345"/>
      <c r="D195" s="345"/>
      <c r="E195" s="345"/>
      <c r="F195" s="345"/>
      <c r="G195" s="345"/>
      <c r="H195" s="345"/>
      <c r="I195" s="345"/>
      <c r="J195" s="345"/>
    </row>
    <row r="196" spans="1:10">
      <c r="B196" s="345"/>
      <c r="C196" s="345"/>
      <c r="D196" s="345"/>
      <c r="E196" s="345"/>
      <c r="F196" s="345"/>
      <c r="G196" s="345"/>
      <c r="H196" s="345"/>
      <c r="I196" s="345"/>
      <c r="J196" s="345"/>
    </row>
    <row r="197" spans="1:10">
      <c r="B197" s="345"/>
      <c r="C197" s="345"/>
      <c r="D197" s="345"/>
      <c r="E197" s="345"/>
      <c r="F197" s="345"/>
      <c r="G197" s="345"/>
      <c r="H197" s="345"/>
      <c r="I197" s="345"/>
      <c r="J197" s="345"/>
    </row>
    <row r="198" spans="1:10">
      <c r="B198" s="345"/>
      <c r="C198" s="345"/>
      <c r="D198" s="345"/>
      <c r="E198" s="345"/>
      <c r="F198" s="345"/>
      <c r="G198" s="345"/>
      <c r="H198" s="345"/>
      <c r="I198" s="345"/>
      <c r="J198" s="345"/>
    </row>
  </sheetData>
  <sheetProtection algorithmName="SHA-512" hashValue="hashz34tkuuDSAWy+mtNGpxtMLbHEj7DV893PNXpB9b3d3INEq1HmzexnLDye3XzUz5Aob0JOZYTW6L8BhMXow==" saltValue="TtDCwsmdYXoH5yqYqCocPg==" spinCount="100000" sheet="1" objects="1" scenarios="1"/>
  <mergeCells count="4">
    <mergeCell ref="L2:AF8"/>
    <mergeCell ref="A116:D116"/>
    <mergeCell ref="N12:O12"/>
    <mergeCell ref="K122:L122"/>
  </mergeCells>
  <dataValidations disablePrompts="1" count="1">
    <dataValidation type="list" allowBlank="1" showInputMessage="1" showErrorMessage="1" error="ПРОВЕРА!" promptTitle="Тип топлотне пумпе:" prompt="ИЗАБРАТИ ИЗ ПАДАЈУЋЕ ЛИСТЕ" sqref="C134" xr:uid="{F4C47129-5F30-42E5-9257-F5E70A4F067F}">
      <formula1>$P$131:$P$134</formula1>
    </dataValidation>
  </dataValidations>
  <pageMargins left="0.7" right="0.7" top="0.5" bottom="0.5" header="0.3" footer="0.3"/>
  <pageSetup paperSize="9" scale="76" orientation="portrait" r:id="rId1"/>
  <headerFooter>
    <oddFooter>&amp;Rстр.:&amp;P/&amp;N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Check Box 9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12</xdr:row>
                    <xdr:rowOff>160020</xdr:rowOff>
                  </from>
                  <to>
                    <xdr:col>2</xdr:col>
                    <xdr:colOff>137160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Check Box 10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</xdr:row>
                    <xdr:rowOff>160020</xdr:rowOff>
                  </from>
                  <to>
                    <xdr:col>2</xdr:col>
                    <xdr:colOff>144780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14</xdr:row>
                    <xdr:rowOff>160020</xdr:rowOff>
                  </from>
                  <to>
                    <xdr:col>2</xdr:col>
                    <xdr:colOff>137160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15</xdr:row>
                    <xdr:rowOff>160020</xdr:rowOff>
                  </from>
                  <to>
                    <xdr:col>2</xdr:col>
                    <xdr:colOff>144780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16</xdr:row>
                    <xdr:rowOff>160020</xdr:rowOff>
                  </from>
                  <to>
                    <xdr:col>2</xdr:col>
                    <xdr:colOff>137160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17</xdr:row>
                    <xdr:rowOff>160020</xdr:rowOff>
                  </from>
                  <to>
                    <xdr:col>2</xdr:col>
                    <xdr:colOff>144780</xdr:colOff>
                    <xdr:row>18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Check Box 15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18</xdr:row>
                    <xdr:rowOff>160020</xdr:rowOff>
                  </from>
                  <to>
                    <xdr:col>2</xdr:col>
                    <xdr:colOff>137160</xdr:colOff>
                    <xdr:row>19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1" name="Check Box 16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19</xdr:row>
                    <xdr:rowOff>160020</xdr:rowOff>
                  </from>
                  <to>
                    <xdr:col>2</xdr:col>
                    <xdr:colOff>144780</xdr:colOff>
                    <xdr:row>20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Check Box 17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20</xdr:row>
                    <xdr:rowOff>160020</xdr:rowOff>
                  </from>
                  <to>
                    <xdr:col>2</xdr:col>
                    <xdr:colOff>137160</xdr:colOff>
                    <xdr:row>21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Check Box 18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21</xdr:row>
                    <xdr:rowOff>160020</xdr:rowOff>
                  </from>
                  <to>
                    <xdr:col>2</xdr:col>
                    <xdr:colOff>144780</xdr:colOff>
                    <xdr:row>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4" name="Check Box 19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23</xdr:row>
                    <xdr:rowOff>160020</xdr:rowOff>
                  </from>
                  <to>
                    <xdr:col>2</xdr:col>
                    <xdr:colOff>137160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5" name="Check Box 20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24</xdr:row>
                    <xdr:rowOff>160020</xdr:rowOff>
                  </from>
                  <to>
                    <xdr:col>2</xdr:col>
                    <xdr:colOff>144780</xdr:colOff>
                    <xdr:row>25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6" name="Check Box 21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25</xdr:row>
                    <xdr:rowOff>160020</xdr:rowOff>
                  </from>
                  <to>
                    <xdr:col>2</xdr:col>
                    <xdr:colOff>137160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7" name="Check Box 22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28</xdr:row>
                    <xdr:rowOff>160020</xdr:rowOff>
                  </from>
                  <to>
                    <xdr:col>2</xdr:col>
                    <xdr:colOff>137160</xdr:colOff>
                    <xdr:row>29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8" name="Check Box 23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29</xdr:row>
                    <xdr:rowOff>160020</xdr:rowOff>
                  </from>
                  <to>
                    <xdr:col>2</xdr:col>
                    <xdr:colOff>137160</xdr:colOff>
                    <xdr:row>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9" name="Check Box 24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30</xdr:row>
                    <xdr:rowOff>160020</xdr:rowOff>
                  </from>
                  <to>
                    <xdr:col>2</xdr:col>
                    <xdr:colOff>137160</xdr:colOff>
                    <xdr:row>31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0" name="Check Box 25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31</xdr:row>
                    <xdr:rowOff>160020</xdr:rowOff>
                  </from>
                  <to>
                    <xdr:col>2</xdr:col>
                    <xdr:colOff>137160</xdr:colOff>
                    <xdr:row>32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1" name="Check Box 26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32</xdr:row>
                    <xdr:rowOff>160020</xdr:rowOff>
                  </from>
                  <to>
                    <xdr:col>2</xdr:col>
                    <xdr:colOff>137160</xdr:colOff>
                    <xdr:row>33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2" name="Check Box 27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33</xdr:row>
                    <xdr:rowOff>160020</xdr:rowOff>
                  </from>
                  <to>
                    <xdr:col>2</xdr:col>
                    <xdr:colOff>137160</xdr:colOff>
                    <xdr:row>34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3" name="Check Box 28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34</xdr:row>
                    <xdr:rowOff>160020</xdr:rowOff>
                  </from>
                  <to>
                    <xdr:col>2</xdr:col>
                    <xdr:colOff>137160</xdr:colOff>
                    <xdr:row>35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4" name="Check Box 29">
              <controlPr defaultSize="0" autoFill="0" autoLine="0" autoPict="0">
                <anchor moveWithCells="1">
                  <from>
                    <xdr:col>1</xdr:col>
                    <xdr:colOff>213360</xdr:colOff>
                    <xdr:row>35</xdr:row>
                    <xdr:rowOff>160020</xdr:rowOff>
                  </from>
                  <to>
                    <xdr:col>2</xdr:col>
                    <xdr:colOff>137160</xdr:colOff>
                    <xdr:row>36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5" name="Check Box 31">
              <controlPr defaultSize="0" autoFill="0" autoLine="0" autoPict="0">
                <anchor moveWithCells="1">
                  <from>
                    <xdr:col>1</xdr:col>
                    <xdr:colOff>213360</xdr:colOff>
                    <xdr:row>43</xdr:row>
                    <xdr:rowOff>22860</xdr:rowOff>
                  </from>
                  <to>
                    <xdr:col>2</xdr:col>
                    <xdr:colOff>137160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6" name="Check Box 33">
              <controlPr defaultSize="0" autoFill="0" autoLine="0" autoPict="0">
                <anchor moveWithCells="1">
                  <from>
                    <xdr:col>1</xdr:col>
                    <xdr:colOff>213360</xdr:colOff>
                    <xdr:row>43</xdr:row>
                    <xdr:rowOff>160020</xdr:rowOff>
                  </from>
                  <to>
                    <xdr:col>2</xdr:col>
                    <xdr:colOff>137160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7" name="Check Box 35">
              <controlPr defaultSize="0" autoFill="0" autoLine="0" autoPict="0">
                <anchor moveWithCells="1">
                  <from>
                    <xdr:col>1</xdr:col>
                    <xdr:colOff>213360</xdr:colOff>
                    <xdr:row>44</xdr:row>
                    <xdr:rowOff>160020</xdr:rowOff>
                  </from>
                  <to>
                    <xdr:col>2</xdr:col>
                    <xdr:colOff>137160</xdr:colOff>
                    <xdr:row>45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8" name="Check Box 37">
              <controlPr defaultSize="0" autoFill="0" autoLine="0" autoPict="0">
                <anchor moveWithCells="1">
                  <from>
                    <xdr:col>1</xdr:col>
                    <xdr:colOff>213360</xdr:colOff>
                    <xdr:row>45</xdr:row>
                    <xdr:rowOff>160020</xdr:rowOff>
                  </from>
                  <to>
                    <xdr:col>2</xdr:col>
                    <xdr:colOff>137160</xdr:colOff>
                    <xdr:row>46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9" name="Check Box 41">
              <controlPr defaultSize="0" autoFill="0" autoLine="0" autoPict="0">
                <anchor moveWithCells="1">
                  <from>
                    <xdr:col>1</xdr:col>
                    <xdr:colOff>213360</xdr:colOff>
                    <xdr:row>46</xdr:row>
                    <xdr:rowOff>160020</xdr:rowOff>
                  </from>
                  <to>
                    <xdr:col>2</xdr:col>
                    <xdr:colOff>137160</xdr:colOff>
                    <xdr:row>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0" name="Check Box 43">
              <controlPr defaultSize="0" autoFill="0" autoLine="0" autoPict="0">
                <anchor moveWithCells="1">
                  <from>
                    <xdr:col>1</xdr:col>
                    <xdr:colOff>213360</xdr:colOff>
                    <xdr:row>47</xdr:row>
                    <xdr:rowOff>160020</xdr:rowOff>
                  </from>
                  <to>
                    <xdr:col>2</xdr:col>
                    <xdr:colOff>137160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1" name="Check Box 45">
              <controlPr defaultSize="0" autoFill="0" autoLine="0" autoPict="0">
                <anchor moveWithCells="1">
                  <from>
                    <xdr:col>1</xdr:col>
                    <xdr:colOff>213360</xdr:colOff>
                    <xdr:row>48</xdr:row>
                    <xdr:rowOff>160020</xdr:rowOff>
                  </from>
                  <to>
                    <xdr:col>2</xdr:col>
                    <xdr:colOff>137160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32" name="Check Box 46">
              <controlPr defaultSize="0" autoFill="0" autoLine="0" autoPict="0">
                <anchor moveWithCells="1">
                  <from>
                    <xdr:col>1</xdr:col>
                    <xdr:colOff>213360</xdr:colOff>
                    <xdr:row>50</xdr:row>
                    <xdr:rowOff>0</xdr:rowOff>
                  </from>
                  <to>
                    <xdr:col>2</xdr:col>
                    <xdr:colOff>137160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33" name="Check Box 64">
              <controlPr defaultSize="0" autoFill="0" autoLine="0" autoPict="0">
                <anchor moveWithCells="1">
                  <from>
                    <xdr:col>1</xdr:col>
                    <xdr:colOff>213360</xdr:colOff>
                    <xdr:row>61</xdr:row>
                    <xdr:rowOff>0</xdr:rowOff>
                  </from>
                  <to>
                    <xdr:col>2</xdr:col>
                    <xdr:colOff>137160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34" name="Check Box 66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61</xdr:row>
                    <xdr:rowOff>160020</xdr:rowOff>
                  </from>
                  <to>
                    <xdr:col>2</xdr:col>
                    <xdr:colOff>137160</xdr:colOff>
                    <xdr:row>62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35" name="Check Box 67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70</xdr:row>
                    <xdr:rowOff>160020</xdr:rowOff>
                  </from>
                  <to>
                    <xdr:col>2</xdr:col>
                    <xdr:colOff>137160</xdr:colOff>
                    <xdr:row>71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36" name="Check Box 68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63</xdr:row>
                    <xdr:rowOff>160020</xdr:rowOff>
                  </from>
                  <to>
                    <xdr:col>2</xdr:col>
                    <xdr:colOff>137160</xdr:colOff>
                    <xdr:row>64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37" name="Check Box 69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64</xdr:row>
                    <xdr:rowOff>160020</xdr:rowOff>
                  </from>
                  <to>
                    <xdr:col>2</xdr:col>
                    <xdr:colOff>137160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38" name="Check Box 70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65</xdr:row>
                    <xdr:rowOff>160020</xdr:rowOff>
                  </from>
                  <to>
                    <xdr:col>2</xdr:col>
                    <xdr:colOff>137160</xdr:colOff>
                    <xdr:row>66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39" name="Check Box 71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66</xdr:row>
                    <xdr:rowOff>160020</xdr:rowOff>
                  </from>
                  <to>
                    <xdr:col>2</xdr:col>
                    <xdr:colOff>137160</xdr:colOff>
                    <xdr:row>67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40" name="Check Box 74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7</xdr:row>
                    <xdr:rowOff>160020</xdr:rowOff>
                  </from>
                  <to>
                    <xdr:col>2</xdr:col>
                    <xdr:colOff>121920</xdr:colOff>
                    <xdr:row>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41" name="Check Box 75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8</xdr:row>
                    <xdr:rowOff>160020</xdr:rowOff>
                  </from>
                  <to>
                    <xdr:col>2</xdr:col>
                    <xdr:colOff>144780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42" name="Check Box 76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9</xdr:row>
                    <xdr:rowOff>160020</xdr:rowOff>
                  </from>
                  <to>
                    <xdr:col>2</xdr:col>
                    <xdr:colOff>137160</xdr:colOff>
                    <xdr:row>10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43" name="Check Box 77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10</xdr:row>
                    <xdr:rowOff>160020</xdr:rowOff>
                  </from>
                  <to>
                    <xdr:col>2</xdr:col>
                    <xdr:colOff>144780</xdr:colOff>
                    <xdr:row>11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44" name="Check Box 85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70</xdr:row>
                    <xdr:rowOff>7620</xdr:rowOff>
                  </from>
                  <to>
                    <xdr:col>2</xdr:col>
                    <xdr:colOff>137160</xdr:colOff>
                    <xdr:row>70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45" name="Check Box 87">
              <controlPr defaultSize="0" autoFill="0" autoLine="0" autoPict="0">
                <anchor moveWithCells="1">
                  <from>
                    <xdr:col>1</xdr:col>
                    <xdr:colOff>213360</xdr:colOff>
                    <xdr:row>48</xdr:row>
                    <xdr:rowOff>160020</xdr:rowOff>
                  </from>
                  <to>
                    <xdr:col>2</xdr:col>
                    <xdr:colOff>137160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46" name="Check Box 90">
              <controlPr defaultSize="0" autoFill="0" autoLine="0" autoPict="0">
                <anchor moveWithCells="1">
                  <from>
                    <xdr:col>1</xdr:col>
                    <xdr:colOff>213360</xdr:colOff>
                    <xdr:row>161</xdr:row>
                    <xdr:rowOff>160020</xdr:rowOff>
                  </from>
                  <to>
                    <xdr:col>2</xdr:col>
                    <xdr:colOff>137160</xdr:colOff>
                    <xdr:row>162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47" name="Check Box 92">
              <controlPr defaultSize="0" autoFill="0" autoLine="0" autoPict="0">
                <anchor moveWithCells="1">
                  <from>
                    <xdr:col>1</xdr:col>
                    <xdr:colOff>213360</xdr:colOff>
                    <xdr:row>162</xdr:row>
                    <xdr:rowOff>160020</xdr:rowOff>
                  </from>
                  <to>
                    <xdr:col>2</xdr:col>
                    <xdr:colOff>137160</xdr:colOff>
                    <xdr:row>163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48" name="Check Box 94">
              <controlPr defaultSize="0" autoFill="0" autoLine="0" autoPict="0">
                <anchor moveWithCells="1">
                  <from>
                    <xdr:col>1</xdr:col>
                    <xdr:colOff>213360</xdr:colOff>
                    <xdr:row>163</xdr:row>
                    <xdr:rowOff>160020</xdr:rowOff>
                  </from>
                  <to>
                    <xdr:col>2</xdr:col>
                    <xdr:colOff>137160</xdr:colOff>
                    <xdr:row>164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49" name="Check Box 96">
              <controlPr defaultSize="0" autoFill="0" autoLine="0" autoPict="0">
                <anchor moveWithCells="1">
                  <from>
                    <xdr:col>1</xdr:col>
                    <xdr:colOff>213360</xdr:colOff>
                    <xdr:row>164</xdr:row>
                    <xdr:rowOff>160020</xdr:rowOff>
                  </from>
                  <to>
                    <xdr:col>2</xdr:col>
                    <xdr:colOff>137160</xdr:colOff>
                    <xdr:row>165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50" name="Check Box 100">
              <controlPr defaultSize="0" autoFill="0" autoLine="0" autoPict="0">
                <anchor moveWithCells="1">
                  <from>
                    <xdr:col>1</xdr:col>
                    <xdr:colOff>213360</xdr:colOff>
                    <xdr:row>165</xdr:row>
                    <xdr:rowOff>160020</xdr:rowOff>
                  </from>
                  <to>
                    <xdr:col>2</xdr:col>
                    <xdr:colOff>137160</xdr:colOff>
                    <xdr:row>166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51" name="Check Box 102">
              <controlPr defaultSize="0" autoFill="0" autoLine="0" autoPict="0">
                <anchor moveWithCells="1">
                  <from>
                    <xdr:col>1</xdr:col>
                    <xdr:colOff>213360</xdr:colOff>
                    <xdr:row>166</xdr:row>
                    <xdr:rowOff>160020</xdr:rowOff>
                  </from>
                  <to>
                    <xdr:col>2</xdr:col>
                    <xdr:colOff>137160</xdr:colOff>
                    <xdr:row>167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52" name="Check Box 104">
              <controlPr defaultSize="0" autoFill="0" autoLine="0" autoPict="0">
                <anchor moveWithCells="1">
                  <from>
                    <xdr:col>1</xdr:col>
                    <xdr:colOff>213360</xdr:colOff>
                    <xdr:row>167</xdr:row>
                    <xdr:rowOff>160020</xdr:rowOff>
                  </from>
                  <to>
                    <xdr:col>2</xdr:col>
                    <xdr:colOff>137160</xdr:colOff>
                    <xdr:row>168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53" name="Check Box 107">
              <controlPr defaultSize="0" autoFill="0" autoLine="0" autoPict="0">
                <anchor moveWithCells="1">
                  <from>
                    <xdr:col>1</xdr:col>
                    <xdr:colOff>213360</xdr:colOff>
                    <xdr:row>167</xdr:row>
                    <xdr:rowOff>160020</xdr:rowOff>
                  </from>
                  <to>
                    <xdr:col>2</xdr:col>
                    <xdr:colOff>137160</xdr:colOff>
                    <xdr:row>168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54" name="Check Box 117">
              <controlPr defaultSize="0" autoFill="0" autoLine="0" autoPict="0">
                <anchor moveWithCells="1">
                  <from>
                    <xdr:col>1</xdr:col>
                    <xdr:colOff>213360</xdr:colOff>
                    <xdr:row>182</xdr:row>
                    <xdr:rowOff>160020</xdr:rowOff>
                  </from>
                  <to>
                    <xdr:col>2</xdr:col>
                    <xdr:colOff>137160</xdr:colOff>
                    <xdr:row>183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55" name="Check Box 119">
              <controlPr defaultSize="0" autoFill="0" autoLine="0" autoPict="0">
                <anchor moveWithCells="1">
                  <from>
                    <xdr:col>1</xdr:col>
                    <xdr:colOff>213360</xdr:colOff>
                    <xdr:row>183</xdr:row>
                    <xdr:rowOff>160020</xdr:rowOff>
                  </from>
                  <to>
                    <xdr:col>2</xdr:col>
                    <xdr:colOff>137160</xdr:colOff>
                    <xdr:row>184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56" name="Check Box 121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183</xdr:row>
                    <xdr:rowOff>160020</xdr:rowOff>
                  </from>
                  <to>
                    <xdr:col>2</xdr:col>
                    <xdr:colOff>137160</xdr:colOff>
                    <xdr:row>184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57" name="Check Box 122">
              <controlPr defaultSize="0" autoFill="0" autoLine="0" autoPict="0">
                <anchor moveWithCells="1">
                  <from>
                    <xdr:col>1</xdr:col>
                    <xdr:colOff>213360</xdr:colOff>
                    <xdr:row>54</xdr:row>
                    <xdr:rowOff>0</xdr:rowOff>
                  </from>
                  <to>
                    <xdr:col>2</xdr:col>
                    <xdr:colOff>137160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58" name="Check Box 127">
              <controlPr defaultSize="0" autoFill="0" autoLine="0" autoPict="0">
                <anchor moveWithCells="1">
                  <from>
                    <xdr:col>1</xdr:col>
                    <xdr:colOff>213360</xdr:colOff>
                    <xdr:row>55</xdr:row>
                    <xdr:rowOff>0</xdr:rowOff>
                  </from>
                  <to>
                    <xdr:col>2</xdr:col>
                    <xdr:colOff>137160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9" name="Check Box 133">
              <controlPr defaultSize="0" autoFill="0" autoLine="0" autoPict="0">
                <anchor moveWithCells="1">
                  <from>
                    <xdr:col>1</xdr:col>
                    <xdr:colOff>213360</xdr:colOff>
                    <xdr:row>55</xdr:row>
                    <xdr:rowOff>0</xdr:rowOff>
                  </from>
                  <to>
                    <xdr:col>2</xdr:col>
                    <xdr:colOff>137160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60" name="Check Box 134">
              <controlPr defaultSize="0" autoFill="0" autoLine="0" autoPict="0">
                <anchor moveWithCells="1">
                  <from>
                    <xdr:col>1</xdr:col>
                    <xdr:colOff>213360</xdr:colOff>
                    <xdr:row>56</xdr:row>
                    <xdr:rowOff>0</xdr:rowOff>
                  </from>
                  <to>
                    <xdr:col>2</xdr:col>
                    <xdr:colOff>137160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61" name="Check Box 155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138</xdr:row>
                    <xdr:rowOff>160020</xdr:rowOff>
                  </from>
                  <to>
                    <xdr:col>2</xdr:col>
                    <xdr:colOff>137160</xdr:colOff>
                    <xdr:row>139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62" name="Check Box 156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139</xdr:row>
                    <xdr:rowOff>160020</xdr:rowOff>
                  </from>
                  <to>
                    <xdr:col>2</xdr:col>
                    <xdr:colOff>137160</xdr:colOff>
                    <xdr:row>140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63" name="Check Box 167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149</xdr:row>
                    <xdr:rowOff>160020</xdr:rowOff>
                  </from>
                  <to>
                    <xdr:col>2</xdr:col>
                    <xdr:colOff>137160</xdr:colOff>
                    <xdr:row>150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64" name="Check Box 168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150</xdr:row>
                    <xdr:rowOff>160020</xdr:rowOff>
                  </from>
                  <to>
                    <xdr:col>2</xdr:col>
                    <xdr:colOff>137160</xdr:colOff>
                    <xdr:row>151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65" name="Check Box 169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151</xdr:row>
                    <xdr:rowOff>160020</xdr:rowOff>
                  </from>
                  <to>
                    <xdr:col>2</xdr:col>
                    <xdr:colOff>137160</xdr:colOff>
                    <xdr:row>152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66" name="Check Box 175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157</xdr:row>
                    <xdr:rowOff>22860</xdr:rowOff>
                  </from>
                  <to>
                    <xdr:col>2</xdr:col>
                    <xdr:colOff>114300</xdr:colOff>
                    <xdr:row>157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67" name="Check Box 176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158</xdr:row>
                    <xdr:rowOff>7620</xdr:rowOff>
                  </from>
                  <to>
                    <xdr:col>2</xdr:col>
                    <xdr:colOff>137160</xdr:colOff>
                    <xdr:row>158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68" name="Check Box 188">
              <controlPr locked="0" defaultSize="0" autoFill="0" autoLine="0" autoPict="0">
                <anchor moveWithCells="1">
                  <from>
                    <xdr:col>8</xdr:col>
                    <xdr:colOff>213360</xdr:colOff>
                    <xdr:row>141</xdr:row>
                    <xdr:rowOff>38100</xdr:rowOff>
                  </from>
                  <to>
                    <xdr:col>9</xdr:col>
                    <xdr:colOff>289560</xdr:colOff>
                    <xdr:row>142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69" name="Check Box 189">
              <controlPr locked="0" defaultSize="0" autoFill="0" autoLine="0" autoPict="0">
                <anchor moveWithCells="1">
                  <from>
                    <xdr:col>9</xdr:col>
                    <xdr:colOff>213360</xdr:colOff>
                    <xdr:row>141</xdr:row>
                    <xdr:rowOff>38100</xdr:rowOff>
                  </from>
                  <to>
                    <xdr:col>10</xdr:col>
                    <xdr:colOff>327660</xdr:colOff>
                    <xdr:row>142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70" name="Check Box 192">
              <controlPr locked="0" defaultSize="0" autoFill="0" autoLine="0" autoPict="0">
                <anchor moveWithCells="1">
                  <from>
                    <xdr:col>8</xdr:col>
                    <xdr:colOff>213360</xdr:colOff>
                    <xdr:row>153</xdr:row>
                    <xdr:rowOff>22860</xdr:rowOff>
                  </from>
                  <to>
                    <xdr:col>9</xdr:col>
                    <xdr:colOff>289560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71" name="Check Box 193">
              <controlPr locked="0" defaultSize="0" autoFill="0" autoLine="0" autoPict="0">
                <anchor moveWithCells="1">
                  <from>
                    <xdr:col>9</xdr:col>
                    <xdr:colOff>213360</xdr:colOff>
                    <xdr:row>153</xdr:row>
                    <xdr:rowOff>22860</xdr:rowOff>
                  </from>
                  <to>
                    <xdr:col>10</xdr:col>
                    <xdr:colOff>327660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72" name="Check Box 199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137</xdr:row>
                    <xdr:rowOff>160020</xdr:rowOff>
                  </from>
                  <to>
                    <xdr:col>2</xdr:col>
                    <xdr:colOff>137160</xdr:colOff>
                    <xdr:row>138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73" name="Check Box 200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138</xdr:row>
                    <xdr:rowOff>160020</xdr:rowOff>
                  </from>
                  <to>
                    <xdr:col>2</xdr:col>
                    <xdr:colOff>137160</xdr:colOff>
                    <xdr:row>139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74" name="Check Box 201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136</xdr:row>
                    <xdr:rowOff>160020</xdr:rowOff>
                  </from>
                  <to>
                    <xdr:col>2</xdr:col>
                    <xdr:colOff>137160</xdr:colOff>
                    <xdr:row>137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75" name="Check Box 202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137</xdr:row>
                    <xdr:rowOff>160020</xdr:rowOff>
                  </from>
                  <to>
                    <xdr:col>2</xdr:col>
                    <xdr:colOff>137160</xdr:colOff>
                    <xdr:row>138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76" name="Check Box 203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136</xdr:row>
                    <xdr:rowOff>160020</xdr:rowOff>
                  </from>
                  <to>
                    <xdr:col>2</xdr:col>
                    <xdr:colOff>137160</xdr:colOff>
                    <xdr:row>137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77" name="Check Box 162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145</xdr:row>
                    <xdr:rowOff>22860</xdr:rowOff>
                  </from>
                  <to>
                    <xdr:col>2</xdr:col>
                    <xdr:colOff>144780</xdr:colOff>
                    <xdr:row>146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78" name="Check Box 163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146</xdr:row>
                    <xdr:rowOff>22860</xdr:rowOff>
                  </from>
                  <to>
                    <xdr:col>2</xdr:col>
                    <xdr:colOff>137160</xdr:colOff>
                    <xdr:row>146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79" name="Check Box 181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144</xdr:row>
                    <xdr:rowOff>22860</xdr:rowOff>
                  </from>
                  <to>
                    <xdr:col>2</xdr:col>
                    <xdr:colOff>137160</xdr:colOff>
                    <xdr:row>145</xdr:row>
                    <xdr:rowOff>30480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Title="ПОГРЕШАН УНОС ! ! !" promptTitle="ОПШТИНА:" prompt="ИЗАБРАТИ ИЗ ПАДАЈУЋЕ ЛИСТЕ" xr:uid="{C0282A14-D6BB-407B-9554-7C780FC800CE}">
          <x14:formula1>
            <xm:f>KALKULATOR!$B$328:$B$458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A6FE-4D28-4651-9C09-1B6E5CA87535}">
  <sheetPr codeName="Sheet2"/>
  <dimension ref="A2:AK511"/>
  <sheetViews>
    <sheetView topLeftCell="A35" zoomScaleNormal="100" workbookViewId="0">
      <selection activeCell="F65" sqref="F65"/>
    </sheetView>
  </sheetViews>
  <sheetFormatPr defaultRowHeight="14.4"/>
  <cols>
    <col min="1" max="6" width="22.6640625" customWidth="1"/>
    <col min="8" max="8" width="10.6640625" bestFit="1" customWidth="1"/>
    <col min="11" max="11" width="14.6640625" customWidth="1"/>
    <col min="13" max="13" width="9.109375" customWidth="1"/>
    <col min="15" max="15" width="11.5546875" customWidth="1"/>
    <col min="17" max="17" width="14.6640625" customWidth="1"/>
    <col min="18" max="21" width="10.109375" customWidth="1"/>
    <col min="23" max="23" width="13.33203125" customWidth="1"/>
    <col min="25" max="25" width="13.33203125" customWidth="1"/>
    <col min="30" max="30" width="13.33203125" customWidth="1"/>
  </cols>
  <sheetData>
    <row r="2" spans="1:12" ht="23.4">
      <c r="B2" s="64" t="s">
        <v>340</v>
      </c>
    </row>
    <row r="3" spans="1:12">
      <c r="B3" s="208"/>
    </row>
    <row r="4" spans="1:12">
      <c r="B4" t="s">
        <v>91</v>
      </c>
    </row>
    <row r="5" spans="1:12">
      <c r="A5" s="3">
        <v>1</v>
      </c>
      <c r="B5" t="s">
        <v>530</v>
      </c>
    </row>
    <row r="6" spans="1:12">
      <c r="A6" s="3"/>
      <c r="B6" t="s">
        <v>535</v>
      </c>
    </row>
    <row r="7" spans="1:12">
      <c r="A7" s="3"/>
      <c r="B7" t="s">
        <v>536</v>
      </c>
    </row>
    <row r="8" spans="1:12" ht="15.6">
      <c r="A8" s="3"/>
      <c r="B8" t="s">
        <v>414</v>
      </c>
    </row>
    <row r="9" spans="1:12">
      <c r="A9" s="3">
        <v>2</v>
      </c>
      <c r="B9" t="str">
        <f>CONCATENATE("Узет је у обзир прекид грејања коефицијентом у вредности од ",C28)</f>
        <v>Узет је у обзир прекид грејања коефицијентом у вредности од 0,85</v>
      </c>
    </row>
    <row r="10" spans="1:12">
      <c r="A10" s="3">
        <v>3</v>
      </c>
      <c r="B10" t="s">
        <v>92</v>
      </c>
    </row>
    <row r="11" spans="1:12">
      <c r="A11" s="3">
        <v>4</v>
      </c>
      <c r="B11" t="s">
        <v>537</v>
      </c>
    </row>
    <row r="12" spans="1:12">
      <c r="A12" s="3">
        <v>5</v>
      </c>
      <c r="B12" t="s">
        <v>528</v>
      </c>
      <c r="L12" s="3"/>
    </row>
    <row r="13" spans="1:12">
      <c r="A13" s="3">
        <v>6</v>
      </c>
      <c r="B13" t="s">
        <v>341</v>
      </c>
      <c r="L13" s="3"/>
    </row>
    <row r="14" spans="1:12" ht="15.6">
      <c r="A14" s="3">
        <v>7</v>
      </c>
      <c r="B14" t="s">
        <v>538</v>
      </c>
      <c r="L14" s="3"/>
    </row>
    <row r="15" spans="1:12">
      <c r="A15" s="3">
        <v>8</v>
      </c>
      <c r="B15" t="s">
        <v>529</v>
      </c>
      <c r="L15" s="3"/>
    </row>
    <row r="17" spans="2:14" s="63" customFormat="1"/>
    <row r="19" spans="2:14">
      <c r="B19" s="3" t="s">
        <v>93</v>
      </c>
      <c r="L19" s="354"/>
      <c r="M19" s="354"/>
      <c r="N19" s="354"/>
    </row>
    <row r="20" spans="2:14">
      <c r="B20" s="210" t="s">
        <v>94</v>
      </c>
      <c r="C20" s="314" t="str">
        <f>IF(   UNOS!$C$5   =   "",   "   ! ! !   ПОПУНИТИ ЖУТА ПОЉА У ЗАПИСНИКУ   ! ! !   ",    UNOS!$C$5)</f>
        <v xml:space="preserve">   ! ! !   ПОПУНИТИ ЖУТА ПОЉА У ЗАПИСНИКУ   ! ! !   </v>
      </c>
    </row>
    <row r="21" spans="2:14">
      <c r="B21" s="210" t="s">
        <v>339</v>
      </c>
      <c r="C21" s="148" t="e">
        <f>VLOOKUP(C20,B328:D458,3,FALSE)</f>
        <v>#N/A</v>
      </c>
    </row>
    <row r="22" spans="2:14">
      <c r="B22" s="210" t="s">
        <v>95</v>
      </c>
      <c r="C22" s="148" t="e">
        <f>VLOOKUP(C21,B464:F511,5,FALSE)</f>
        <v>#N/A</v>
      </c>
    </row>
    <row r="23" spans="2:14">
      <c r="B23" s="210" t="s">
        <v>96</v>
      </c>
      <c r="C23" s="148" t="e">
        <f>VLOOKUP($C$20,$B$328:$P$458,4,FALSE)</f>
        <v>#N/A</v>
      </c>
      <c r="D23" s="20" t="s">
        <v>97</v>
      </c>
    </row>
    <row r="24" spans="2:14" ht="16.2">
      <c r="B24" s="210" t="s">
        <v>203</v>
      </c>
      <c r="C24" s="148">
        <f>UNOS!F38</f>
        <v>0</v>
      </c>
      <c r="D24" t="s">
        <v>63</v>
      </c>
    </row>
    <row r="25" spans="2:14">
      <c r="B25" s="210" t="s">
        <v>202</v>
      </c>
      <c r="C25" s="148">
        <f>UNOS!F39</f>
        <v>0</v>
      </c>
      <c r="D25" t="s">
        <v>0</v>
      </c>
    </row>
    <row r="26" spans="2:14" ht="16.2">
      <c r="B26" s="210" t="s">
        <v>179</v>
      </c>
      <c r="C26" s="148">
        <f>C24*C25</f>
        <v>0</v>
      </c>
      <c r="D26" t="s">
        <v>178</v>
      </c>
    </row>
    <row r="27" spans="2:14">
      <c r="B27" s="210" t="s">
        <v>201</v>
      </c>
      <c r="C27" s="148" t="str" cm="1">
        <f t="array" ref="C27">IF(SUM(UNOS!L30:L37)=1,INDEX(UNOS!C30:C37,_xlfn.XMATCH(1,UNOS!L30:L37,0),1),"ПРОВЕРИТИ УНОС")</f>
        <v>ПРОВЕРИТИ УНОС</v>
      </c>
    </row>
    <row r="28" spans="2:14">
      <c r="B28" s="210" t="s">
        <v>204</v>
      </c>
      <c r="C28" s="125">
        <f>[1]USVOJENE_VREDNOSTI!$C$5</f>
        <v>0.85</v>
      </c>
      <c r="D28" s="20"/>
    </row>
    <row r="29" spans="2:14">
      <c r="B29" s="210" t="s">
        <v>239</v>
      </c>
      <c r="C29" s="148" t="str" cm="1">
        <f t="array" ref="C29">IF(ISNA(INDEX(UNOS!C44:C51,_xlfn.XMATCH(1,UNOS!L44:L51,0),1)),"ПРОВЕРА",INDEX(UNOS!C44:C51,_xlfn.XMATCH(1,UNOS!L44:L51,0),1))</f>
        <v>ПРОВЕРА</v>
      </c>
    </row>
    <row r="30" spans="2:14">
      <c r="B30" s="210" t="s">
        <v>425</v>
      </c>
      <c r="C30" s="148" t="str">
        <f>IF(UNOS!K25,UNOS!C25,IF(UNOS!K26,UNOS!C26,IF(UNOS!K27,UNOS!C27,"ПРОВЕРА")))</f>
        <v>ПРОВЕРА</v>
      </c>
    </row>
    <row r="31" spans="2:14">
      <c r="B31" s="210" t="s">
        <v>426</v>
      </c>
      <c r="C31" s="148" t="str">
        <f>IF(UNOS!K9,UNOS!C9,IF(UNOS!K10,UNOS!C10,IF(UNOS!K11,UNOS!C11,IF(UNOS!K12,UNOS!C12,"ПРОВЕРА"))))</f>
        <v>ПРОВЕРА</v>
      </c>
    </row>
    <row r="32" spans="2:14">
      <c r="B32" s="210" t="s">
        <v>427</v>
      </c>
      <c r="C32" s="148">
        <f>SUM(UNOS!L14:L23)</f>
        <v>0</v>
      </c>
    </row>
    <row r="33" spans="1:31">
      <c r="B33" s="210" t="s">
        <v>424</v>
      </c>
      <c r="C33" s="259">
        <f>IF(UNOS!K14,UNOS!C73,0)+IF(UNOS!K15,UNOS!K124,0)+IF(UNOS!K16,UNOS!L124,0)+IF(OR(UNOS!K17,UNOS!K18,UNOS!K19),UNOS!C127,0)+IF(UNOS!K20,UNOS!C149,0)+IF(UNOS!K21,UNOS!C173,0)+IF(UNOS!K22,UNOS!C186,0)</f>
        <v>0</v>
      </c>
    </row>
    <row r="35" spans="1:31" ht="15" thickBot="1">
      <c r="A35" s="5" t="s">
        <v>350</v>
      </c>
      <c r="G35" s="5" t="s">
        <v>540</v>
      </c>
    </row>
    <row r="36" spans="1:31" ht="16.2" thickBot="1">
      <c r="B36" s="26"/>
      <c r="C36" s="99" t="s">
        <v>416</v>
      </c>
      <c r="D36" s="146" t="s">
        <v>417</v>
      </c>
      <c r="E36" s="146" t="s">
        <v>144</v>
      </c>
      <c r="G36" s="211" t="s">
        <v>345</v>
      </c>
      <c r="H36" s="387" t="s">
        <v>284</v>
      </c>
      <c r="I36" s="388"/>
      <c r="J36" s="387" t="s">
        <v>285</v>
      </c>
      <c r="K36" s="388"/>
      <c r="L36" s="387" t="s">
        <v>361</v>
      </c>
      <c r="M36" s="388"/>
      <c r="N36" s="387" t="s">
        <v>286</v>
      </c>
      <c r="O36" s="388"/>
      <c r="P36" s="387" t="s">
        <v>362</v>
      </c>
      <c r="Q36" s="388"/>
      <c r="T36" s="3" t="s">
        <v>546</v>
      </c>
      <c r="AA36" s="3" t="s">
        <v>551</v>
      </c>
    </row>
    <row r="37" spans="1:31" ht="17.399999999999999" thickBot="1">
      <c r="A37" s="2"/>
      <c r="B37" s="26" t="s">
        <v>147</v>
      </c>
      <c r="C37" s="99" t="s">
        <v>143</v>
      </c>
      <c r="D37" s="147" t="s">
        <v>143</v>
      </c>
      <c r="E37" s="146" t="s">
        <v>144</v>
      </c>
      <c r="G37" s="102" t="s">
        <v>344</v>
      </c>
      <c r="H37" s="103" t="s">
        <v>413</v>
      </c>
      <c r="I37" s="104" t="s">
        <v>457</v>
      </c>
      <c r="J37" s="103" t="s">
        <v>413</v>
      </c>
      <c r="K37" s="104" t="s">
        <v>457</v>
      </c>
      <c r="L37" s="103" t="s">
        <v>413</v>
      </c>
      <c r="M37" s="104" t="s">
        <v>457</v>
      </c>
      <c r="N37" s="103" t="s">
        <v>413</v>
      </c>
      <c r="O37" s="104" t="s">
        <v>457</v>
      </c>
      <c r="P37" s="103" t="s">
        <v>413</v>
      </c>
      <c r="Q37" s="104" t="s">
        <v>457</v>
      </c>
      <c r="T37" s="367" t="s">
        <v>547</v>
      </c>
      <c r="U37" s="368"/>
      <c r="V37" s="299" t="s">
        <v>548</v>
      </c>
      <c r="W37" s="299" t="s">
        <v>549</v>
      </c>
      <c r="X37" s="300" t="s">
        <v>555</v>
      </c>
      <c r="AA37" s="357" t="s">
        <v>554</v>
      </c>
      <c r="AB37" s="358"/>
      <c r="AC37" s="358"/>
      <c r="AD37" s="358"/>
      <c r="AE37" s="300" t="s">
        <v>556</v>
      </c>
    </row>
    <row r="38" spans="1:31">
      <c r="A38" s="2"/>
      <c r="B38" s="10" t="s">
        <v>3</v>
      </c>
      <c r="C38" s="100">
        <f>[1]USVOJENE_VREDNOSTI!C10</f>
        <v>242</v>
      </c>
      <c r="D38" s="229" t="e">
        <f t="shared" ref="D38:D45" si="0">C38*$C$22/$F$459</f>
        <v>#N/A</v>
      </c>
      <c r="E38" s="147" t="str">
        <f t="shared" ref="E38:E40" si="1">IF(C$27=B38,D38*$C$24,"")</f>
        <v/>
      </c>
      <c r="G38" s="105" t="s">
        <v>3</v>
      </c>
      <c r="H38" s="106">
        <f>[1]USVOJENE_VREDNOSTI!C22</f>
        <v>1.1000000000000001</v>
      </c>
      <c r="I38" s="83">
        <f>[1]USVOJENE_VREDNOSTI!D22</f>
        <v>49</v>
      </c>
      <c r="J38" s="106">
        <f>[1]USVOJENE_VREDNOSTI!C33</f>
        <v>0.62</v>
      </c>
      <c r="K38" s="83">
        <f>[1]USVOJENE_VREDNOSTI!D33</f>
        <v>25</v>
      </c>
      <c r="L38" s="222">
        <f>[1]USVOJENE_VREDNOSTI!C44</f>
        <v>0.9</v>
      </c>
      <c r="M38" s="223">
        <f>[1]USVOJENE_VREDNOSTI!D44</f>
        <v>34</v>
      </c>
      <c r="N38" s="106">
        <f>[1]USVOJENE_VREDNOSTI!C55</f>
        <v>0.65</v>
      </c>
      <c r="O38" s="83">
        <f>[1]USVOJENE_VREDNOSTI!D55</f>
        <v>32.5</v>
      </c>
      <c r="P38" s="106">
        <f>[1]USVOJENE_VREDNOSTI!C66</f>
        <v>1.31</v>
      </c>
      <c r="Q38" s="83">
        <f>[1]USVOJENE_VREDNOSTI!D66</f>
        <v>0</v>
      </c>
      <c r="T38" s="369" t="s">
        <v>541</v>
      </c>
      <c r="U38" s="370"/>
      <c r="V38" s="294" t="s">
        <v>543</v>
      </c>
      <c r="W38" s="294"/>
      <c r="X38" s="301">
        <f>[1]USVOJENE_VREDNOSTI!F77</f>
        <v>0.5</v>
      </c>
      <c r="AA38" s="359" t="s">
        <v>552</v>
      </c>
      <c r="AB38" s="360"/>
      <c r="AC38" s="360"/>
      <c r="AD38" s="360"/>
      <c r="AE38" s="306">
        <f>[1]USVOJENE_VREDNOSTI!F92</f>
        <v>0.95</v>
      </c>
    </row>
    <row r="39" spans="1:31" ht="15" thickBot="1">
      <c r="A39" s="2"/>
      <c r="B39" s="10" t="s">
        <v>4</v>
      </c>
      <c r="C39" s="100">
        <f>[1]USVOJENE_VREDNOSTI!C11</f>
        <v>251.28</v>
      </c>
      <c r="D39" s="229" t="e">
        <f t="shared" si="0"/>
        <v>#N/A</v>
      </c>
      <c r="E39" s="147" t="str">
        <f t="shared" si="1"/>
        <v/>
      </c>
      <c r="G39" s="107" t="s">
        <v>4</v>
      </c>
      <c r="H39" s="108">
        <f>[1]USVOJENE_VREDNOSTI!C23</f>
        <v>1.17</v>
      </c>
      <c r="I39" s="93">
        <f>[1]USVOJENE_VREDNOSTI!D23</f>
        <v>43</v>
      </c>
      <c r="J39" s="108">
        <f>[1]USVOJENE_VREDNOSTI!C34</f>
        <v>0.64</v>
      </c>
      <c r="K39" s="93">
        <f>[1]USVOJENE_VREDNOSTI!D34</f>
        <v>18</v>
      </c>
      <c r="L39" s="222">
        <f>[1]USVOJENE_VREDNOSTI!C45</f>
        <v>0.9</v>
      </c>
      <c r="M39" s="223">
        <f>[1]USVOJENE_VREDNOSTI!D45</f>
        <v>34</v>
      </c>
      <c r="N39" s="108">
        <f>[1]USVOJENE_VREDNOSTI!C56</f>
        <v>0.77</v>
      </c>
      <c r="O39" s="93">
        <f>[1]USVOJENE_VREDNOSTI!D56</f>
        <v>23</v>
      </c>
      <c r="P39" s="108">
        <f>[1]USVOJENE_VREDNOSTI!C67</f>
        <v>1.31</v>
      </c>
      <c r="Q39" s="93">
        <f>[1]USVOJENE_VREDNOSTI!D67</f>
        <v>0</v>
      </c>
      <c r="T39" s="371"/>
      <c r="U39" s="372"/>
      <c r="V39" s="295" t="s">
        <v>544</v>
      </c>
      <c r="W39" s="295" t="s">
        <v>550</v>
      </c>
      <c r="X39" s="302">
        <f>[1]USVOJENE_VREDNOSTI!F78</f>
        <v>0.57999999999999996</v>
      </c>
      <c r="AA39" s="103" t="s">
        <v>553</v>
      </c>
      <c r="AB39" s="113"/>
      <c r="AC39" s="113"/>
      <c r="AD39" s="113"/>
      <c r="AE39" s="307">
        <f>[1]USVOJENE_VREDNOSTI!F93</f>
        <v>0.98</v>
      </c>
    </row>
    <row r="40" spans="1:31">
      <c r="A40" s="2"/>
      <c r="B40" s="10" t="s">
        <v>5</v>
      </c>
      <c r="C40" s="100">
        <f>[1]USVOJENE_VREDNOSTI!C12</f>
        <v>252.38</v>
      </c>
      <c r="D40" s="229" t="e">
        <f t="shared" si="0"/>
        <v>#N/A</v>
      </c>
      <c r="E40" s="147" t="str">
        <f t="shared" si="1"/>
        <v/>
      </c>
      <c r="G40" s="107" t="s">
        <v>5</v>
      </c>
      <c r="H40" s="108">
        <f>[1]USVOJENE_VREDNOSTI!C24</f>
        <v>1.57</v>
      </c>
      <c r="I40" s="93">
        <f>[1]USVOJENE_VREDNOSTI!D24</f>
        <v>53</v>
      </c>
      <c r="J40" s="108">
        <f>[1]USVOJENE_VREDNOSTI!C35</f>
        <v>0.64</v>
      </c>
      <c r="K40" s="93">
        <f>[1]USVOJENE_VREDNOSTI!D35</f>
        <v>18</v>
      </c>
      <c r="L40" s="153">
        <f>[1]USVOJENE_VREDNOSTI!C46</f>
        <v>2.17</v>
      </c>
      <c r="M40" s="224">
        <f>[1]USVOJENE_VREDNOSTI!D46</f>
        <v>28</v>
      </c>
      <c r="N40" s="108">
        <f>[1]USVOJENE_VREDNOSTI!C57</f>
        <v>0.71</v>
      </c>
      <c r="O40" s="93">
        <f>[1]USVOJENE_VREDNOSTI!D57</f>
        <v>31.5</v>
      </c>
      <c r="P40" s="108">
        <f>[1]USVOJENE_VREDNOSTI!C68</f>
        <v>1.31</v>
      </c>
      <c r="Q40" s="93">
        <f>[1]USVOJENE_VREDNOSTI!D68</f>
        <v>0</v>
      </c>
      <c r="T40" s="361"/>
      <c r="U40" s="362"/>
      <c r="V40" s="297"/>
      <c r="W40" s="297" t="s">
        <v>545</v>
      </c>
      <c r="X40" s="303">
        <f>[1]USVOJENE_VREDNOSTI!F79</f>
        <v>0.68</v>
      </c>
    </row>
    <row r="41" spans="1:31" ht="15" thickBot="1">
      <c r="A41" s="2"/>
      <c r="B41" s="10" t="s">
        <v>6</v>
      </c>
      <c r="C41" s="100">
        <f>[1]USVOJENE_VREDNOSTI!C13</f>
        <v>326.14</v>
      </c>
      <c r="D41" s="229" t="e">
        <f t="shared" si="0"/>
        <v>#N/A</v>
      </c>
      <c r="E41" s="147" t="str">
        <f>IF(C$27=B41,D41*$C$24,"")</f>
        <v/>
      </c>
      <c r="G41" s="107" t="s">
        <v>6</v>
      </c>
      <c r="H41" s="108">
        <f>[1]USVOJENE_VREDNOSTI!C25</f>
        <v>1.7</v>
      </c>
      <c r="I41" s="93">
        <f>[1]USVOJENE_VREDNOSTI!D25</f>
        <v>29</v>
      </c>
      <c r="J41" s="108">
        <f>[1]USVOJENE_VREDNOSTI!C36</f>
        <v>0.61</v>
      </c>
      <c r="K41" s="93">
        <f>[1]USVOJENE_VREDNOSTI!D36</f>
        <v>18</v>
      </c>
      <c r="L41" s="108">
        <f>[1]USVOJENE_VREDNOSTI!C47</f>
        <v>1.48</v>
      </c>
      <c r="M41" s="93">
        <f>[1]USVOJENE_VREDNOSTI!D47</f>
        <v>28</v>
      </c>
      <c r="N41" s="108">
        <f>[1]USVOJENE_VREDNOSTI!C58</f>
        <v>2.4500000000000002</v>
      </c>
      <c r="O41" s="93">
        <f>[1]USVOJENE_VREDNOSTI!D58</f>
        <v>23</v>
      </c>
      <c r="P41" s="108">
        <f>[1]USVOJENE_VREDNOSTI!C69</f>
        <v>0.52</v>
      </c>
      <c r="Q41" s="93">
        <f>[1]USVOJENE_VREDNOSTI!D69</f>
        <v>37</v>
      </c>
      <c r="T41" s="363" t="s">
        <v>89</v>
      </c>
      <c r="U41" s="364"/>
      <c r="V41" s="296" t="s">
        <v>544</v>
      </c>
      <c r="W41" s="296" t="s">
        <v>550</v>
      </c>
      <c r="X41" s="304">
        <f>[1]USVOJENE_VREDNOSTI!F80</f>
        <v>0.63</v>
      </c>
      <c r="AA41" s="3" t="s">
        <v>558</v>
      </c>
    </row>
    <row r="42" spans="1:31" ht="15.6">
      <c r="A42" s="2"/>
      <c r="B42" s="10" t="s">
        <v>7</v>
      </c>
      <c r="C42" s="100">
        <f>[1]USVOJENE_VREDNOSTI!C14</f>
        <v>339</v>
      </c>
      <c r="D42" s="229" t="e">
        <f t="shared" si="0"/>
        <v>#N/A</v>
      </c>
      <c r="E42" s="147" t="str">
        <f t="shared" ref="E42:E45" si="2">IF(C$27=B42,D42*$C$24,"")</f>
        <v/>
      </c>
      <c r="G42" s="107" t="s">
        <v>7</v>
      </c>
      <c r="H42" s="108">
        <f>[1]USVOJENE_VREDNOSTI!C26</f>
        <v>1.7</v>
      </c>
      <c r="I42" s="93">
        <f>[1]USVOJENE_VREDNOSTI!D26</f>
        <v>29</v>
      </c>
      <c r="J42" s="108">
        <f>[1]USVOJENE_VREDNOSTI!C37</f>
        <v>0.65</v>
      </c>
      <c r="K42" s="93">
        <f>[1]USVOJENE_VREDNOSTI!D37</f>
        <v>17</v>
      </c>
      <c r="L42" s="108">
        <f>[1]USVOJENE_VREDNOSTI!C48</f>
        <v>1.48</v>
      </c>
      <c r="M42" s="93">
        <f>[1]USVOJENE_VREDNOSTI!D48</f>
        <v>28</v>
      </c>
      <c r="N42" s="108">
        <f>[1]USVOJENE_VREDNOSTI!C59</f>
        <v>2.4500000000000002</v>
      </c>
      <c r="O42" s="93">
        <f>[1]USVOJENE_VREDNOSTI!D59</f>
        <v>23</v>
      </c>
      <c r="P42" s="108">
        <f>[1]USVOJENE_VREDNOSTI!C70</f>
        <v>0.55000000000000004</v>
      </c>
      <c r="Q42" s="93">
        <f>[1]USVOJENE_VREDNOSTI!D70</f>
        <v>0</v>
      </c>
      <c r="T42" s="361"/>
      <c r="U42" s="362"/>
      <c r="V42" s="297"/>
      <c r="W42" s="297" t="s">
        <v>545</v>
      </c>
      <c r="X42" s="303">
        <f>[1]USVOJENE_VREDNOSTI!F81</f>
        <v>0.72</v>
      </c>
      <c r="AA42" s="404" t="s">
        <v>560</v>
      </c>
      <c r="AB42" s="405"/>
      <c r="AC42" s="405"/>
      <c r="AD42" s="405"/>
      <c r="AE42" s="315" t="s">
        <v>557</v>
      </c>
    </row>
    <row r="43" spans="1:31">
      <c r="A43" s="2"/>
      <c r="B43" s="10" t="s">
        <v>8</v>
      </c>
      <c r="C43" s="100">
        <f>[1]USVOJENE_VREDNOSTI!C15</f>
        <v>239.68</v>
      </c>
      <c r="D43" s="229" t="e">
        <f t="shared" si="0"/>
        <v>#N/A</v>
      </c>
      <c r="E43" s="147" t="str">
        <f t="shared" si="2"/>
        <v/>
      </c>
      <c r="G43" s="107" t="s">
        <v>8</v>
      </c>
      <c r="H43" s="108">
        <f>[1]USVOJENE_VREDNOSTI!C27</f>
        <v>0.32</v>
      </c>
      <c r="I43" s="93">
        <f>[1]USVOJENE_VREDNOSTI!D27</f>
        <v>39</v>
      </c>
      <c r="J43" s="108">
        <f>[1]USVOJENE_VREDNOSTI!C38</f>
        <v>0.32</v>
      </c>
      <c r="K43" s="93">
        <f>[1]USVOJENE_VREDNOSTI!D38</f>
        <v>23</v>
      </c>
      <c r="L43" s="108">
        <f>[1]USVOJENE_VREDNOSTI!C49</f>
        <v>1.49</v>
      </c>
      <c r="M43" s="93">
        <f>[1]USVOJENE_VREDNOSTI!D49</f>
        <v>27</v>
      </c>
      <c r="N43" s="108">
        <f>[1]USVOJENE_VREDNOSTI!C60</f>
        <v>2.4700000000000002</v>
      </c>
      <c r="O43" s="93">
        <f>[1]USVOJENE_VREDNOSTI!D60</f>
        <v>22</v>
      </c>
      <c r="P43" s="108">
        <f>[1]USVOJENE_VREDNOSTI!C71</f>
        <v>0.47</v>
      </c>
      <c r="Q43" s="93">
        <f>[1]USVOJENE_VREDNOSTI!D71</f>
        <v>30</v>
      </c>
      <c r="T43" s="363" t="s">
        <v>542</v>
      </c>
      <c r="U43" s="364"/>
      <c r="V43" s="296" t="s">
        <v>544</v>
      </c>
      <c r="W43" s="296" t="s">
        <v>550</v>
      </c>
      <c r="X43" s="304">
        <f>[1]USVOJENE_VREDNOSTI!F82</f>
        <v>0.68</v>
      </c>
      <c r="AA43" s="365" t="s">
        <v>559</v>
      </c>
      <c r="AB43" s="366"/>
      <c r="AC43" s="366"/>
      <c r="AD43" s="366"/>
      <c r="AE43" s="316">
        <v>0.95</v>
      </c>
    </row>
    <row r="44" spans="1:31">
      <c r="A44" s="2"/>
      <c r="B44" s="10" t="s">
        <v>9</v>
      </c>
      <c r="C44" s="100">
        <f>[1]USVOJENE_VREDNOSTI!C16</f>
        <v>60.92</v>
      </c>
      <c r="D44" s="229" t="e">
        <f t="shared" si="0"/>
        <v>#N/A</v>
      </c>
      <c r="E44" s="147" t="str">
        <f t="shared" si="2"/>
        <v/>
      </c>
      <c r="G44" s="107" t="s">
        <v>9</v>
      </c>
      <c r="H44" s="108">
        <f>[1]USVOJENE_VREDNOSTI!C28</f>
        <v>0.19</v>
      </c>
      <c r="I44" s="93">
        <f>[1]USVOJENE_VREDNOSTI!D28</f>
        <v>50</v>
      </c>
      <c r="J44" s="108">
        <f>[1]USVOJENE_VREDNOSTI!C39</f>
        <v>0.26</v>
      </c>
      <c r="K44" s="93">
        <f>[1]USVOJENE_VREDNOSTI!D39</f>
        <v>36</v>
      </c>
      <c r="L44" s="153">
        <f>[1]USVOJENE_VREDNOSTI!C50</f>
        <v>0.3</v>
      </c>
      <c r="M44" s="224">
        <f>[1]USVOJENE_VREDNOSTI!D50</f>
        <v>30</v>
      </c>
      <c r="N44" s="108">
        <f>[1]USVOJENE_VREDNOSTI!C61</f>
        <v>0.2</v>
      </c>
      <c r="O44" s="93">
        <f>[1]USVOJENE_VREDNOSTI!D61</f>
        <v>37</v>
      </c>
      <c r="P44" s="153">
        <f>[1]USVOJENE_VREDNOSTI!C72</f>
        <v>0.15</v>
      </c>
      <c r="Q44" s="224">
        <f>[1]USVOJENE_VREDNOSTI!D72</f>
        <v>45</v>
      </c>
      <c r="T44" s="361"/>
      <c r="U44" s="362"/>
      <c r="V44" s="297"/>
      <c r="W44" s="297" t="s">
        <v>545</v>
      </c>
      <c r="X44" s="303">
        <f>[1]USVOJENE_VREDNOSTI!F83</f>
        <v>0.8</v>
      </c>
      <c r="AA44" s="365" t="s">
        <v>561</v>
      </c>
      <c r="AB44" s="366"/>
      <c r="AC44" s="366"/>
      <c r="AD44" s="366"/>
      <c r="AE44" s="316">
        <v>0.92</v>
      </c>
    </row>
    <row r="45" spans="1:31" ht="15" thickBot="1">
      <c r="A45" s="2"/>
      <c r="B45" s="27" t="s">
        <v>22</v>
      </c>
      <c r="C45" s="100">
        <f>[1]USVOJENE_VREDNOSTI!C17</f>
        <v>275.08</v>
      </c>
      <c r="D45" s="229" t="e">
        <f t="shared" si="0"/>
        <v>#N/A</v>
      </c>
      <c r="E45" s="147" t="str">
        <f t="shared" si="2"/>
        <v/>
      </c>
      <c r="G45" s="109" t="s">
        <v>22</v>
      </c>
      <c r="H45" s="220">
        <f>[1]USVOJENE_VREDNOSTI!C29</f>
        <v>1.26</v>
      </c>
      <c r="I45" s="221">
        <f>[1]USVOJENE_VREDNOSTI!D29</f>
        <v>40</v>
      </c>
      <c r="J45" s="220">
        <f>[1]USVOJENE_VREDNOSTI!C40</f>
        <v>0.57999999999999996</v>
      </c>
      <c r="K45" s="221">
        <f>[1]USVOJENE_VREDNOSTI!D40</f>
        <v>20</v>
      </c>
      <c r="L45" s="220">
        <f>[1]USVOJENE_VREDNOSTI!C51</f>
        <v>1.4</v>
      </c>
      <c r="M45" s="221">
        <f>[1]USVOJENE_VREDNOSTI!D51</f>
        <v>30</v>
      </c>
      <c r="N45" s="220">
        <f>[1]USVOJENE_VREDNOSTI!C62</f>
        <v>1.58</v>
      </c>
      <c r="O45" s="221">
        <f>[1]USVOJENE_VREDNOSTI!D62</f>
        <v>26</v>
      </c>
      <c r="P45" s="220">
        <f>[1]USVOJENE_VREDNOSTI!C73</f>
        <v>0.91</v>
      </c>
      <c r="Q45" s="221">
        <f>[1]USVOJENE_VREDNOSTI!D73</f>
        <v>34</v>
      </c>
      <c r="T45" s="400" t="s">
        <v>31</v>
      </c>
      <c r="U45" s="401"/>
      <c r="V45" s="298"/>
      <c r="W45" s="298" t="s">
        <v>545</v>
      </c>
      <c r="X45" s="305">
        <f>[1]USVOJENE_VREDNOSTI!F84</f>
        <v>0.95</v>
      </c>
      <c r="AA45" s="402" t="s">
        <v>570</v>
      </c>
      <c r="AB45" s="403"/>
      <c r="AC45" s="403"/>
      <c r="AD45" s="403"/>
      <c r="AE45" s="328">
        <v>0.9</v>
      </c>
    </row>
    <row r="46" spans="1:31" ht="16.2" thickBot="1">
      <c r="A46" s="2"/>
      <c r="B46" s="28"/>
      <c r="C46" s="29"/>
      <c r="D46" s="29" t="s">
        <v>145</v>
      </c>
      <c r="E46" s="145">
        <f>SUM(E38:E44)</f>
        <v>0</v>
      </c>
      <c r="T46" s="400" t="s">
        <v>31</v>
      </c>
      <c r="U46" s="401"/>
      <c r="V46" s="298"/>
      <c r="W46" s="298" t="s">
        <v>545</v>
      </c>
      <c r="X46" s="305">
        <f>[1]USVOJENE_VREDNOSTI!$F$86</f>
        <v>0.78</v>
      </c>
    </row>
    <row r="47" spans="1:31" ht="15" thickBot="1">
      <c r="A47" s="2"/>
      <c r="C47" s="16"/>
      <c r="D47" s="25"/>
      <c r="T47" s="400" t="s">
        <v>33</v>
      </c>
      <c r="U47" s="401"/>
      <c r="V47" s="298"/>
      <c r="W47" s="298" t="s">
        <v>545</v>
      </c>
      <c r="X47" s="305">
        <f>[1]USVOJENE_VREDNOSTI!$F$87</f>
        <v>2.5</v>
      </c>
    </row>
    <row r="48" spans="1:31" ht="15" thickBot="1">
      <c r="A48" s="5" t="s">
        <v>287</v>
      </c>
      <c r="C48" s="1"/>
      <c r="D48" s="23"/>
      <c r="T48" s="400" t="s">
        <v>569</v>
      </c>
      <c r="U48" s="401"/>
      <c r="V48" s="298"/>
      <c r="W48" s="298" t="s">
        <v>545</v>
      </c>
      <c r="X48" s="305">
        <f>[1]USVOJENE_VREDNOSTI!$F$88</f>
        <v>0.98</v>
      </c>
    </row>
    <row r="49" spans="1:37" ht="15" thickBot="1">
      <c r="A49" s="5"/>
      <c r="C49" s="1" t="s">
        <v>154</v>
      </c>
      <c r="D49" s="23" t="s">
        <v>169</v>
      </c>
      <c r="E49" t="s">
        <v>160</v>
      </c>
      <c r="G49" s="395" t="s">
        <v>162</v>
      </c>
      <c r="H49" s="396"/>
      <c r="I49" s="396"/>
      <c r="J49" s="397"/>
      <c r="K49" s="395" t="s">
        <v>163</v>
      </c>
      <c r="L49" s="396"/>
      <c r="M49" s="396"/>
      <c r="N49" s="396"/>
      <c r="O49" s="385" t="s">
        <v>199</v>
      </c>
    </row>
    <row r="50" spans="1:37" ht="16.2" thickBot="1">
      <c r="A50" s="2"/>
      <c r="B50" s="16" t="s">
        <v>148</v>
      </c>
      <c r="C50" s="11" t="s">
        <v>149</v>
      </c>
      <c r="D50" s="11" t="s">
        <v>183</v>
      </c>
      <c r="E50" s="11" t="s">
        <v>161</v>
      </c>
      <c r="G50" s="110" t="s">
        <v>155</v>
      </c>
      <c r="H50" s="326" t="s">
        <v>156</v>
      </c>
      <c r="I50" s="326" t="s">
        <v>157</v>
      </c>
      <c r="J50" s="149" t="s">
        <v>158</v>
      </c>
      <c r="K50" s="110" t="s">
        <v>155</v>
      </c>
      <c r="L50" s="326" t="s">
        <v>156</v>
      </c>
      <c r="M50" s="326" t="s">
        <v>157</v>
      </c>
      <c r="N50" s="327" t="s">
        <v>158</v>
      </c>
      <c r="O50" s="386"/>
      <c r="Q50" s="114" t="s">
        <v>249</v>
      </c>
      <c r="R50" s="389" t="s">
        <v>253</v>
      </c>
      <c r="S50" s="390"/>
      <c r="T50" s="157" t="s">
        <v>459</v>
      </c>
      <c r="U50" s="157" t="s">
        <v>459</v>
      </c>
      <c r="V50" s="114"/>
      <c r="W50" s="157"/>
      <c r="X50" s="157"/>
      <c r="Y50" s="157" t="s">
        <v>207</v>
      </c>
      <c r="Z50" s="373" t="s">
        <v>368</v>
      </c>
      <c r="AA50" s="374"/>
      <c r="AB50" s="374"/>
      <c r="AC50" s="375"/>
      <c r="AD50" s="168" t="s">
        <v>490</v>
      </c>
      <c r="AF50" s="376" t="s">
        <v>260</v>
      </c>
      <c r="AG50" s="377"/>
      <c r="AH50" s="377"/>
      <c r="AI50" s="377"/>
      <c r="AJ50" s="377"/>
      <c r="AK50" s="378"/>
    </row>
    <row r="51" spans="1:37" ht="16.2" thickBot="1">
      <c r="A51" s="2"/>
      <c r="B51" s="16"/>
      <c r="C51" s="142">
        <f>SUM(C52:C59)</f>
        <v>0</v>
      </c>
      <c r="D51" s="143">
        <f>SUM(D52:D59)</f>
        <v>0</v>
      </c>
      <c r="E51" s="143">
        <f>SUM(E52:E59)</f>
        <v>0</v>
      </c>
      <c r="G51" s="111" t="s">
        <v>151</v>
      </c>
      <c r="H51" s="112" t="s">
        <v>152</v>
      </c>
      <c r="I51" s="112" t="s">
        <v>153</v>
      </c>
      <c r="J51" s="150" t="s">
        <v>150</v>
      </c>
      <c r="K51" s="111" t="s">
        <v>151</v>
      </c>
      <c r="L51" s="112" t="s">
        <v>152</v>
      </c>
      <c r="M51" s="112" t="s">
        <v>153</v>
      </c>
      <c r="N51" s="154" t="s">
        <v>150</v>
      </c>
      <c r="O51" s="386"/>
      <c r="Q51" s="115" t="s">
        <v>250</v>
      </c>
      <c r="R51" s="391"/>
      <c r="S51" s="392"/>
      <c r="T51" s="158" t="s">
        <v>251</v>
      </c>
      <c r="U51" s="158" t="s">
        <v>252</v>
      </c>
      <c r="V51" s="115" t="s">
        <v>458</v>
      </c>
      <c r="W51" s="158" t="s">
        <v>460</v>
      </c>
      <c r="X51" s="158" t="s">
        <v>461</v>
      </c>
      <c r="Y51" s="158" t="s">
        <v>206</v>
      </c>
      <c r="Z51" s="121" t="s">
        <v>254</v>
      </c>
      <c r="AA51" s="171" t="s">
        <v>255</v>
      </c>
      <c r="AB51" s="79" t="s">
        <v>256</v>
      </c>
      <c r="AC51" s="256" t="s">
        <v>255</v>
      </c>
      <c r="AD51" s="169" t="s">
        <v>206</v>
      </c>
      <c r="AF51" s="106"/>
      <c r="AG51" s="82" t="s">
        <v>462</v>
      </c>
      <c r="AH51" s="82" t="s">
        <v>463</v>
      </c>
      <c r="AI51" s="82" t="s">
        <v>464</v>
      </c>
      <c r="AJ51" s="82" t="s">
        <v>465</v>
      </c>
      <c r="AK51" s="83" t="s">
        <v>466</v>
      </c>
    </row>
    <row r="52" spans="1:37">
      <c r="A52" s="2"/>
      <c r="B52" s="15" t="s">
        <v>30</v>
      </c>
      <c r="C52" s="144" t="str">
        <f>IF(D52="","",D52*(1-J52))</f>
        <v/>
      </c>
      <c r="D52" s="144" t="str">
        <f t="shared" ref="D52:D59" si="3">IF(B52=C$29,$E$46/J52,"")</f>
        <v/>
      </c>
      <c r="E52" s="144" t="str">
        <f>IF(D52="","",D52*O52)</f>
        <v/>
      </c>
      <c r="G52" s="153">
        <f>IF(   UNOS!$K$57,   X38,   IF(   UNOS!$K$56,   X39,   IF(   UNOS!$K$55,    X40,   0   )))</f>
        <v>0</v>
      </c>
      <c r="H52" s="175">
        <f>IF(   UNOS!$K$57,   1,  IF(   UNOS!$K$142,   $AE$39,    $AE$38   )   )</f>
        <v>0.95</v>
      </c>
      <c r="I52" s="175">
        <f>IF(UNOS!$K$145,$AE$45,IF(UNOS!$K$146,$AE$44,IF(UNOS!$K$147,$AE$43,0)))</f>
        <v>0</v>
      </c>
      <c r="J52" s="151">
        <f t="shared" ref="J52:J59" si="4">G52*H52*I52</f>
        <v>0</v>
      </c>
      <c r="K52" s="153">
        <f>IF(   $B$235,   UNOS!$C$132,   G52   )</f>
        <v>0</v>
      </c>
      <c r="L52" s="175">
        <f>IF(   UNOS!$K$154, $AE$39,  H52   )</f>
        <v>0.95</v>
      </c>
      <c r="M52" s="175">
        <f>IF(UNOS!$K$159,AE43,IF(UNOS!$K$158,AE44,I52))</f>
        <v>0</v>
      </c>
      <c r="N52" s="155">
        <f t="shared" ref="N52:N59" si="5">K52*L52*M52</f>
        <v>0</v>
      </c>
      <c r="O52" s="107">
        <f>[1]USVOJENE_VREDNOSTI!B104</f>
        <v>1</v>
      </c>
      <c r="Q52" s="116" t="str">
        <f>[1]USVOJENE_VREDNOSTI!C104</f>
        <v>m3  (pm)</v>
      </c>
      <c r="R52" s="236">
        <f>[1]USVOJENE_VREDNOSTI!D104</f>
        <v>8445600</v>
      </c>
      <c r="S52" s="237" t="str">
        <f>[1]USVOJENE_VREDNOSTI!E104</f>
        <v>kJ/m3</v>
      </c>
      <c r="T52" s="159">
        <f>1/(R52/3600)</f>
        <v>4.2625745950554135E-4</v>
      </c>
      <c r="U52" s="160">
        <f t="shared" ref="U52:U59" si="6">T52*$B$140</f>
        <v>0</v>
      </c>
      <c r="V52" s="116">
        <f>[1]USVOJENE_VREDNOSTI!F104</f>
        <v>7000</v>
      </c>
      <c r="W52" s="165">
        <f t="shared" ref="W52:W59" si="7">T52*V52</f>
        <v>2.9838022165387894</v>
      </c>
      <c r="X52" s="160" t="str">
        <f>IF(D52="", "", V52*U52)</f>
        <v/>
      </c>
      <c r="Y52" s="160" t="str">
        <f>IF(D52="","",   IF(   $B$132,  KALKULATOR!X52*KALKULATOR!$B$138,""))</f>
        <v/>
      </c>
      <c r="Z52" s="122"/>
      <c r="AA52" s="173"/>
      <c r="AB52" s="123">
        <f>[1]USVOJENE_VREDNOSTI!G104</f>
        <v>0</v>
      </c>
      <c r="AC52" s="257" t="str">
        <f t="shared" ref="AC52:AC59" si="8">IF(D52="","",AB52*O52*$B$140)</f>
        <v/>
      </c>
      <c r="AD52" s="170" t="str">
        <f>IF(D52="","",   IF(   $B$132,  AC52*KALKULATOR!$B$138,""))</f>
        <v/>
      </c>
      <c r="AF52" s="127" t="s">
        <v>200</v>
      </c>
      <c r="AG52" s="242">
        <f>[1]USVOJENE_VREDNOSTI!K104</f>
        <v>16000</v>
      </c>
      <c r="AH52" s="242">
        <f>[1]USVOJENE_VREDNOSTI!L104</f>
        <v>18300</v>
      </c>
      <c r="AI52" s="242">
        <f>[1]USVOJENE_VREDNOSTI!M104</f>
        <v>21000</v>
      </c>
      <c r="AJ52" s="242">
        <f>[1]USVOJENE_VREDNOSTI!N104</f>
        <v>10300</v>
      </c>
      <c r="AK52" s="243">
        <f>[1]USVOJENE_VREDNOSTI!O104</f>
        <v>19400</v>
      </c>
    </row>
    <row r="53" spans="1:37" ht="15" thickBot="1">
      <c r="A53" s="2"/>
      <c r="B53" s="30" t="s">
        <v>29</v>
      </c>
      <c r="C53" s="144" t="str">
        <f t="shared" ref="C53:C59" si="9">IF(D53="","",D53*(1-J53))</f>
        <v/>
      </c>
      <c r="D53" s="144" t="str">
        <f t="shared" si="3"/>
        <v/>
      </c>
      <c r="E53" s="144" t="str">
        <f t="shared" ref="E53:E59" si="10">IF(D53="","",D53*O53)</f>
        <v/>
      </c>
      <c r="G53" s="153">
        <f>IF(   UNOS!$K$57,   X38,   IF(   UNOS!$K$56,   X39,   IF(   UNOS!$K$55,    X40,   0   )))</f>
        <v>0</v>
      </c>
      <c r="H53" s="175">
        <f>IF(   UNOS!$K$57,   1,  IF(   UNOS!$K$142,   $AE$39,    $AE$38   )   )</f>
        <v>0.95</v>
      </c>
      <c r="I53" s="175">
        <f>IF(UNOS!$K$145,$AE$45,IF(UNOS!$K$146,$AE$44,IF(UNOS!$K$147,$AE$43,0)))</f>
        <v>0</v>
      </c>
      <c r="J53" s="151">
        <f t="shared" si="4"/>
        <v>0</v>
      </c>
      <c r="K53" s="153">
        <f>IF(   $B$235,   UNOS!$C$132,   G53   )</f>
        <v>0</v>
      </c>
      <c r="L53" s="175">
        <f>IF(   UNOS!$K$154, $AE$39,  H53   )</f>
        <v>0.95</v>
      </c>
      <c r="M53" s="175">
        <f>IF(UNOS!$K$159,AE44,IF(UNOS!$K$158,AE45,I53))</f>
        <v>0</v>
      </c>
      <c r="N53" s="155">
        <f t="shared" si="5"/>
        <v>0</v>
      </c>
      <c r="O53" s="107">
        <f>[1]USVOJENE_VREDNOSTI!B105</f>
        <v>1</v>
      </c>
      <c r="Q53" s="117" t="str">
        <f>[1]USVOJENE_VREDNOSTI!C105</f>
        <v>kg</v>
      </c>
      <c r="R53" s="238">
        <f>[1]USVOJENE_VREDNOSTI!D105</f>
        <v>17886</v>
      </c>
      <c r="S53" s="239" t="str">
        <f>[1]USVOJENE_VREDNOSTI!E105</f>
        <v>kJ/kg</v>
      </c>
      <c r="T53" s="161">
        <f>1/(R53/3600)</f>
        <v>0.20127474002012746</v>
      </c>
      <c r="U53" s="162">
        <f t="shared" si="6"/>
        <v>0</v>
      </c>
      <c r="V53" s="117">
        <f>[1]USVOJENE_VREDNOSTI!F105</f>
        <v>22</v>
      </c>
      <c r="W53" s="166">
        <f t="shared" si="7"/>
        <v>4.428044280442804</v>
      </c>
      <c r="X53" s="162" t="str">
        <f t="shared" ref="X53:X59" si="11">IF(D53="", "", V53*U53)</f>
        <v/>
      </c>
      <c r="Y53" s="162" t="str">
        <f>IF(D53="","",   IF(   $B$132,  KALKULATOR!X53*KALKULATOR!$B$138,""))</f>
        <v/>
      </c>
      <c r="Z53" s="108"/>
      <c r="AA53" s="174">
        <f>O53*Z53*U53</f>
        <v>0</v>
      </c>
      <c r="AB53" s="92">
        <f>[1]USVOJENE_VREDNOSTI!G105</f>
        <v>0.35</v>
      </c>
      <c r="AC53" s="228" t="str">
        <f t="shared" si="8"/>
        <v/>
      </c>
      <c r="AD53" s="170" t="str">
        <f>IF(D53="","",   IF(   $B$132,  AC53*KALKULATOR!$B$138,""))</f>
        <v/>
      </c>
      <c r="AF53" s="103" t="s">
        <v>411</v>
      </c>
      <c r="AG53" s="244">
        <f>[1]USVOJENE_VREDNOSTI!K105</f>
        <v>22560</v>
      </c>
      <c r="AH53" s="244">
        <f>[1]USVOJENE_VREDNOSTI!L105</f>
        <v>21960</v>
      </c>
      <c r="AI53" s="244">
        <f>[1]USVOJENE_VREDNOSTI!M105</f>
        <v>25200</v>
      </c>
      <c r="AJ53" s="244">
        <f>[1]USVOJENE_VREDNOSTI!N105</f>
        <v>16800</v>
      </c>
      <c r="AK53" s="245">
        <f>[1]USVOJENE_VREDNOSTI!O105</f>
        <v>23520</v>
      </c>
    </row>
    <row r="54" spans="1:37">
      <c r="A54" s="2"/>
      <c r="B54" s="30" t="s">
        <v>89</v>
      </c>
      <c r="C54" s="144" t="str">
        <f t="shared" si="9"/>
        <v/>
      </c>
      <c r="D54" s="144" t="str">
        <f t="shared" si="3"/>
        <v/>
      </c>
      <c r="E54" s="144" t="str">
        <f t="shared" si="10"/>
        <v/>
      </c>
      <c r="G54" s="153">
        <f>IF(   UNOS!$K$57,   X38,   IF(   UNOS!$K$56,   X41,   IF(   UNOS!$K$55,    X42,   0   )))</f>
        <v>0</v>
      </c>
      <c r="H54" s="175">
        <f>IF(   UNOS!$K$57,   1,  IF(   UNOS!$K$142,   $AE$39,    $AE$38   )   )</f>
        <v>0.95</v>
      </c>
      <c r="I54" s="175">
        <f>IF(UNOS!$K$145,$AE$45,IF(UNOS!$K$146,$AE$44,IF(UNOS!$K$147,$AE$43,0)))</f>
        <v>0</v>
      </c>
      <c r="J54" s="151">
        <f t="shared" si="4"/>
        <v>0</v>
      </c>
      <c r="K54" s="153">
        <f>IF(   $B$235,   UNOS!$C$132,   G54   )</f>
        <v>0</v>
      </c>
      <c r="L54" s="175">
        <f>IF(   UNOS!$K$154, $AE$39,  H54   )</f>
        <v>0.95</v>
      </c>
      <c r="M54" s="175">
        <f>IF(UNOS!$K$159,AE45,IF(UNOS!$K$158,AE46,I54))</f>
        <v>0</v>
      </c>
      <c r="N54" s="155">
        <f t="shared" si="5"/>
        <v>0</v>
      </c>
      <c r="O54" s="107">
        <f>[1]USVOJENE_VREDNOSTI!B106</f>
        <v>1</v>
      </c>
      <c r="Q54" s="117" t="str">
        <f>[1]USVOJENE_VREDNOSTI!C106</f>
        <v>kg</v>
      </c>
      <c r="R54" s="238">
        <f>[1]USVOJENE_VREDNOSTI!D106</f>
        <v>41200</v>
      </c>
      <c r="S54" s="239" t="str">
        <f>[1]USVOJENE_VREDNOSTI!E106</f>
        <v>kJ/kg</v>
      </c>
      <c r="T54" s="161">
        <f>1/(R54/3600)</f>
        <v>8.7378640776699032E-2</v>
      </c>
      <c r="U54" s="162">
        <f t="shared" si="6"/>
        <v>0</v>
      </c>
      <c r="V54" s="117">
        <f>[1]USVOJENE_VREDNOSTI!F106</f>
        <v>90</v>
      </c>
      <c r="W54" s="166">
        <f t="shared" si="7"/>
        <v>7.8640776699029127</v>
      </c>
      <c r="X54" s="162" t="str">
        <f t="shared" si="11"/>
        <v/>
      </c>
      <c r="Y54" s="162" t="str">
        <f>IF(D54="","",   IF(   $B$132,  KALKULATOR!X54*KALKULATOR!$B$138,""))</f>
        <v/>
      </c>
      <c r="Z54" s="108"/>
      <c r="AA54" s="174">
        <f>O54*Z54*U54</f>
        <v>0</v>
      </c>
      <c r="AB54" s="92">
        <f>[1]USVOJENE_VREDNOSTI!G106</f>
        <v>0.28000000000000003</v>
      </c>
      <c r="AC54" s="228" t="str">
        <f t="shared" si="8"/>
        <v/>
      </c>
      <c r="AD54" s="170" t="str">
        <f>IF(D54="","",   IF(   $B$132,  AC54*KALKULATOR!$B$138,""))</f>
        <v/>
      </c>
    </row>
    <row r="55" spans="1:37" ht="15" thickBot="1">
      <c r="A55" s="2"/>
      <c r="B55" s="30" t="s">
        <v>31</v>
      </c>
      <c r="C55" s="144" t="str">
        <f t="shared" si="9"/>
        <v/>
      </c>
      <c r="D55" s="144" t="str">
        <f t="shared" si="3"/>
        <v/>
      </c>
      <c r="E55" s="144" t="str">
        <f t="shared" si="10"/>
        <v/>
      </c>
      <c r="G55" s="108">
        <f>X45</f>
        <v>0.95</v>
      </c>
      <c r="H55" s="175">
        <f>IF(   UNOS!$K$57,   1,  IF(   UNOS!$K$142,   $AE$39,    $AE$38   )   )</f>
        <v>0.95</v>
      </c>
      <c r="I55" s="175">
        <f>IF(UNOS!$K$145,$AE$45,IF(UNOS!$K$146,$AE$44,IF(UNOS!$K$147,$AE$43,0)))</f>
        <v>0</v>
      </c>
      <c r="J55" s="151">
        <f t="shared" si="4"/>
        <v>0</v>
      </c>
      <c r="K55" s="153">
        <f>IF(   $B$235,   UNOS!$C$132,   G55   )</f>
        <v>0.95</v>
      </c>
      <c r="L55" s="175">
        <f>IF(   UNOS!$K$154, $AE$39,  H55   )</f>
        <v>0.95</v>
      </c>
      <c r="M55" s="175">
        <f>IF(UNOS!$K$159,AE46,IF(UNOS!$K$158,AE47,I55))</f>
        <v>0</v>
      </c>
      <c r="N55" s="155">
        <f t="shared" si="5"/>
        <v>0</v>
      </c>
      <c r="O55" s="107">
        <f>[1]USVOJENE_VREDNOSTI!B107</f>
        <v>3.0150000000000001</v>
      </c>
      <c r="Q55" s="117" t="str">
        <f>[1]USVOJENE_VREDNOSTI!C107</f>
        <v>kWh</v>
      </c>
      <c r="R55" s="238">
        <f>[1]USVOJENE_VREDNOSTI!D107</f>
        <v>1</v>
      </c>
      <c r="S55" s="239" t="str">
        <f>[1]USVOJENE_VREDNOSTI!E107</f>
        <v>kWh/kWh</v>
      </c>
      <c r="T55" s="162">
        <v>1</v>
      </c>
      <c r="U55" s="162">
        <f t="shared" si="6"/>
        <v>0</v>
      </c>
      <c r="V55" s="117">
        <f>[1]USVOJENE_VREDNOSTI!F107</f>
        <v>10</v>
      </c>
      <c r="W55" s="166">
        <f t="shared" si="7"/>
        <v>10</v>
      </c>
      <c r="X55" s="162" t="str">
        <f t="shared" si="11"/>
        <v/>
      </c>
      <c r="Y55" s="162" t="str">
        <f>IF(D55="","",   IF(   $B$132,  KALKULATOR!X55*KALKULATOR!$B$138,""))</f>
        <v/>
      </c>
      <c r="Z55" s="108"/>
      <c r="AA55" s="175"/>
      <c r="AB55" s="92">
        <f>[1]USVOJENE_VREDNOSTI!G107</f>
        <v>1.099</v>
      </c>
      <c r="AC55" s="228" t="str">
        <f t="shared" si="8"/>
        <v/>
      </c>
      <c r="AD55" s="170" t="str">
        <f>IF(D55="","",   IF(   $B$132,  AC55*KALKULATOR!$B$138,""))</f>
        <v/>
      </c>
    </row>
    <row r="56" spans="1:37" ht="15" thickBot="1">
      <c r="A56" s="2"/>
      <c r="B56" s="30" t="s">
        <v>32</v>
      </c>
      <c r="C56" s="144" t="str">
        <f t="shared" si="9"/>
        <v/>
      </c>
      <c r="D56" s="144" t="str">
        <f t="shared" si="3"/>
        <v/>
      </c>
      <c r="E56" s="144" t="str">
        <f t="shared" si="10"/>
        <v/>
      </c>
      <c r="G56" s="153">
        <f>IF(   UNOS!$K$57,   X43,   IF(   UNOS!$K$56,   X44,   IF(   UNOS!$K$55,    X44,   0   )))</f>
        <v>0</v>
      </c>
      <c r="H56" s="175">
        <f>IF(   UNOS!$K$57,   1,  IF(   UNOS!$K$142,   $AE$39,    $AE$38   )   )</f>
        <v>0.95</v>
      </c>
      <c r="I56" s="175">
        <f>IF(UNOS!$K$145,$AE$45,IF(UNOS!$K$146,$AE$44,IF(UNOS!$K$147,$AE$43,0)))</f>
        <v>0</v>
      </c>
      <c r="J56" s="151">
        <f t="shared" si="4"/>
        <v>0</v>
      </c>
      <c r="K56" s="153">
        <f>IF(   $B$235,   UNOS!$C$132,   G56   )</f>
        <v>0</v>
      </c>
      <c r="L56" s="175">
        <f>IF(   UNOS!$K$154, $AE$39,  H56   )</f>
        <v>0.95</v>
      </c>
      <c r="M56" s="175">
        <f>IF(UNOS!$K$159,AE47,IF(UNOS!$K$158,AE48,I56))</f>
        <v>0</v>
      </c>
      <c r="N56" s="155">
        <f t="shared" si="5"/>
        <v>0</v>
      </c>
      <c r="O56" s="107">
        <f>[1]USVOJENE_VREDNOSTI!B108</f>
        <v>1</v>
      </c>
      <c r="Q56" s="117" t="str">
        <f>[1]USVOJENE_VREDNOSTI!C108</f>
        <v>m3</v>
      </c>
      <c r="R56" s="238">
        <f>[1]USVOJENE_VREDNOSTI!D108</f>
        <v>33500</v>
      </c>
      <c r="S56" s="239" t="str">
        <f>[1]USVOJENE_VREDNOSTI!E108</f>
        <v>kJ/m3</v>
      </c>
      <c r="T56" s="161">
        <f>1/(R56/3600)</f>
        <v>0.10746268656716418</v>
      </c>
      <c r="U56" s="162">
        <f t="shared" si="6"/>
        <v>0</v>
      </c>
      <c r="V56" s="119">
        <f>[1]USVOJENE_VREDNOSTI!F108</f>
        <v>42.131999999999998</v>
      </c>
      <c r="W56" s="166">
        <f t="shared" si="7"/>
        <v>4.527617910447761</v>
      </c>
      <c r="X56" s="162" t="str">
        <f t="shared" si="11"/>
        <v/>
      </c>
      <c r="Y56" s="162" t="str">
        <f>IF(D56="","",   IF(   $B$132,  KALKULATOR!X56*KALKULATOR!$B$138,""))</f>
        <v/>
      </c>
      <c r="Z56" s="108"/>
      <c r="AA56" s="176"/>
      <c r="AB56" s="124">
        <f>[1]USVOJENE_VREDNOSTI!G108</f>
        <v>0.18</v>
      </c>
      <c r="AC56" s="228" t="str">
        <f t="shared" si="8"/>
        <v/>
      </c>
      <c r="AD56" s="170" t="str">
        <f>IF(D56="","",   IF(   $B$132,  AC56*KALKULATOR!$B$138,""))</f>
        <v/>
      </c>
      <c r="AE56" s="7"/>
      <c r="AF56" s="376" t="s">
        <v>263</v>
      </c>
      <c r="AG56" s="377"/>
      <c r="AH56" s="378"/>
    </row>
    <row r="57" spans="1:37">
      <c r="A57" s="2"/>
      <c r="B57" s="30" t="s">
        <v>159</v>
      </c>
      <c r="C57" s="144" t="str">
        <f t="shared" si="9"/>
        <v/>
      </c>
      <c r="D57" s="144" t="str">
        <f t="shared" si="3"/>
        <v/>
      </c>
      <c r="E57" s="144" t="str">
        <f t="shared" si="10"/>
        <v/>
      </c>
      <c r="G57" s="108">
        <f>X46</f>
        <v>0.78</v>
      </c>
      <c r="H57" s="175">
        <f>IF(   UNOS!$K$57,   1,  IF(   UNOS!$K$142,   $AE$39,    $AE$38   )   )</f>
        <v>0.95</v>
      </c>
      <c r="I57" s="175">
        <f>IF(UNOS!$K$145,$AE$45,IF(UNOS!$K$146,$AE$44,IF(UNOS!$K$147,$AE$43,0)))</f>
        <v>0</v>
      </c>
      <c r="J57" s="151">
        <f t="shared" si="4"/>
        <v>0</v>
      </c>
      <c r="K57" s="153">
        <f>IF(   $B$235,   UNOS!$C$132,   G57   )</f>
        <v>0.78</v>
      </c>
      <c r="L57" s="175">
        <f>IF(   UNOS!$K$154, $AE$39,  H57   )</f>
        <v>0.95</v>
      </c>
      <c r="M57" s="175">
        <f>IF(UNOS!$K$159,AE48,IF(UNOS!$K$158,AE49,I57))</f>
        <v>0</v>
      </c>
      <c r="N57" s="155">
        <f t="shared" si="5"/>
        <v>0</v>
      </c>
      <c r="O57" s="107">
        <f>[1]USVOJENE_VREDNOSTI!B109</f>
        <v>1</v>
      </c>
      <c r="Q57" s="117" t="str">
        <f>[1]USVOJENE_VREDNOSTI!C109</f>
        <v>kg</v>
      </c>
      <c r="R57" s="238">
        <f>[1]USVOJENE_VREDNOSTI!D109</f>
        <v>18000</v>
      </c>
      <c r="S57" s="239" t="str">
        <f>[1]USVOJENE_VREDNOSTI!E109</f>
        <v>kJ/kg</v>
      </c>
      <c r="T57" s="163">
        <f>1/(R57/3600)</f>
        <v>0.2</v>
      </c>
      <c r="U57" s="162">
        <f t="shared" si="6"/>
        <v>0</v>
      </c>
      <c r="V57" s="117">
        <f>[1]USVOJENE_VREDNOSTI!F109</f>
        <v>33</v>
      </c>
      <c r="W57" s="166">
        <f t="shared" si="7"/>
        <v>6.6000000000000005</v>
      </c>
      <c r="X57" s="162" t="str">
        <f t="shared" si="11"/>
        <v/>
      </c>
      <c r="Y57" s="162" t="str">
        <f>IF(D57="","",   IF(   $B$132,  KALKULATOR!X57*KALKULATOR!$B$138,""))</f>
        <v/>
      </c>
      <c r="Z57" s="108"/>
      <c r="AA57" s="175"/>
      <c r="AB57" s="92">
        <f>[1]USVOJENE_VREDNOSTI!G109</f>
        <v>0</v>
      </c>
      <c r="AC57" s="228" t="str">
        <f t="shared" si="8"/>
        <v/>
      </c>
      <c r="AD57" s="170" t="str">
        <f>IF(D57="","",   IF(   $B$132,  AC57*KALKULATOR!$B$138,""))</f>
        <v/>
      </c>
      <c r="AF57" s="106"/>
      <c r="AG57" s="82" t="s">
        <v>261</v>
      </c>
      <c r="AH57" s="83" t="s">
        <v>262</v>
      </c>
    </row>
    <row r="58" spans="1:37">
      <c r="A58" s="2"/>
      <c r="B58" s="30" t="s">
        <v>33</v>
      </c>
      <c r="C58" s="144" t="str">
        <f>IF(D58="","",D58*(1-H58*I58*0.99))</f>
        <v/>
      </c>
      <c r="D58" s="144" t="str">
        <f t="shared" si="3"/>
        <v/>
      </c>
      <c r="E58" s="144" t="str">
        <f t="shared" si="10"/>
        <v/>
      </c>
      <c r="G58" s="108">
        <f>X47</f>
        <v>2.5</v>
      </c>
      <c r="H58" s="175">
        <f>IF(   UNOS!$K$57,   1,  IF(   UNOS!$K$142,   $AE$39,    $AE$38   )   )</f>
        <v>0.95</v>
      </c>
      <c r="I58" s="175">
        <f>IF(UNOS!$K$145,$AE$45,IF(UNOS!$K$146,$AE$44,IF(UNOS!$K$147,$AE$43,0)))</f>
        <v>0</v>
      </c>
      <c r="J58" s="151">
        <f t="shared" si="4"/>
        <v>0</v>
      </c>
      <c r="K58" s="153">
        <f>IF(   $B$235,   UNOS!$C$132,   G58   )</f>
        <v>2.5</v>
      </c>
      <c r="L58" s="175">
        <f>IF(   UNOS!$K$154, $AE$39,  H58   )</f>
        <v>0.95</v>
      </c>
      <c r="M58" s="175">
        <f>IF(UNOS!$K$159,AE49,IF(UNOS!$K$158,AE50,I58))</f>
        <v>0</v>
      </c>
      <c r="N58" s="155">
        <f t="shared" si="5"/>
        <v>0</v>
      </c>
      <c r="O58" s="107">
        <f>[1]USVOJENE_VREDNOSTI!B110</f>
        <v>3.0150000000000001</v>
      </c>
      <c r="Q58" s="117" t="str">
        <f>[1]USVOJENE_VREDNOSTI!C110</f>
        <v>kWh</v>
      </c>
      <c r="R58" s="238">
        <f>[1]USVOJENE_VREDNOSTI!D110</f>
        <v>1</v>
      </c>
      <c r="S58" s="239" t="str">
        <f>[1]USVOJENE_VREDNOSTI!E110</f>
        <v>kWh/kWh</v>
      </c>
      <c r="T58" s="162">
        <v>1</v>
      </c>
      <c r="U58" s="162">
        <f t="shared" si="6"/>
        <v>0</v>
      </c>
      <c r="V58" s="117">
        <f>[1]USVOJENE_VREDNOSTI!F110</f>
        <v>5</v>
      </c>
      <c r="W58" s="166">
        <f t="shared" si="7"/>
        <v>5</v>
      </c>
      <c r="X58" s="162" t="str">
        <f t="shared" si="11"/>
        <v/>
      </c>
      <c r="Y58" s="162" t="str">
        <f>IF(D58="","",   IF(   $B$132,  KALKULATOR!X58*KALKULATOR!$B$138,""))</f>
        <v/>
      </c>
      <c r="Z58" s="108"/>
      <c r="AA58" s="175"/>
      <c r="AB58" s="92">
        <f>[1]USVOJENE_VREDNOSTI!G110</f>
        <v>1.099</v>
      </c>
      <c r="AC58" s="228" t="str">
        <f t="shared" si="8"/>
        <v/>
      </c>
      <c r="AD58" s="170" t="str">
        <f>IF(D58="","",   IF(   $B$132,  AC58*KALKULATOR!$B$138,""))</f>
        <v/>
      </c>
      <c r="AF58" s="108" t="s">
        <v>467</v>
      </c>
      <c r="AG58" s="92">
        <f>[1]USVOJENE_VREDNOSTI!K110</f>
        <v>9.0190000000000001</v>
      </c>
      <c r="AH58" s="93">
        <f>[1]USVOJENE_VREDNOSTI!L110</f>
        <v>2.2770000000000001</v>
      </c>
    </row>
    <row r="59" spans="1:37" ht="15" thickBot="1">
      <c r="A59" s="2"/>
      <c r="B59" s="31" t="s">
        <v>146</v>
      </c>
      <c r="C59" s="144" t="str">
        <f t="shared" si="9"/>
        <v/>
      </c>
      <c r="D59" s="144" t="str">
        <f t="shared" si="3"/>
        <v/>
      </c>
      <c r="E59" s="144" t="str">
        <f t="shared" si="10"/>
        <v/>
      </c>
      <c r="G59" s="103">
        <v>0.98</v>
      </c>
      <c r="H59" s="177">
        <f>IF(   UNOS!$K$57,   1,  IF(   UNOS!$K$142,   $AE$39,    $AE$38   )   )</f>
        <v>0.95</v>
      </c>
      <c r="I59" s="177">
        <f>IF(UNOS!$K$145,$AE$45,IF(UNOS!$K$146,$AE$44,IF(UNOS!$K$147,$AE$43,0)))</f>
        <v>0</v>
      </c>
      <c r="J59" s="152">
        <f t="shared" si="4"/>
        <v>0</v>
      </c>
      <c r="K59" s="220">
        <f>IF(   $B$235,   UNOS!$C$132,   G59   )</f>
        <v>0.98</v>
      </c>
      <c r="L59" s="177">
        <f>IF(   UNOS!$K$154, $AE$39,  H59   )</f>
        <v>0.95</v>
      </c>
      <c r="M59" s="177">
        <f>IF(UNOS!$K$159,AE50,IF(UNOS!$K$158,AE51,I59))</f>
        <v>0</v>
      </c>
      <c r="N59" s="156">
        <f t="shared" si="5"/>
        <v>0</v>
      </c>
      <c r="O59" s="109">
        <f>[1]USVOJENE_VREDNOSTI!B111</f>
        <v>1.56</v>
      </c>
      <c r="Q59" s="118" t="str">
        <f>[1]USVOJENE_VREDNOSTI!C111</f>
        <v>kWh</v>
      </c>
      <c r="R59" s="240">
        <f>[1]USVOJENE_VREDNOSTI!D111</f>
        <v>1</v>
      </c>
      <c r="S59" s="241" t="str">
        <f>[1]USVOJENE_VREDNOSTI!E111</f>
        <v>kWh/kWh</v>
      </c>
      <c r="T59" s="164">
        <v>1</v>
      </c>
      <c r="U59" s="164">
        <f t="shared" si="6"/>
        <v>0</v>
      </c>
      <c r="V59" s="120">
        <f>[1]USVOJENE_VREDNOSTI!F111</f>
        <v>8.06</v>
      </c>
      <c r="W59" s="167">
        <f t="shared" si="7"/>
        <v>8.06</v>
      </c>
      <c r="X59" s="164" t="str">
        <f t="shared" si="11"/>
        <v/>
      </c>
      <c r="Y59" s="164" t="str">
        <f>IF(D59="","",   IF(   $B$132,  KALKULATOR!X59*KALKULATOR!$B$138,""))</f>
        <v/>
      </c>
      <c r="Z59" s="103"/>
      <c r="AA59" s="177"/>
      <c r="AB59" s="113">
        <f>[1]USVOJENE_VREDNOSTI!G111</f>
        <v>0.28699999999999998</v>
      </c>
      <c r="AC59" s="258" t="str">
        <f t="shared" si="8"/>
        <v/>
      </c>
      <c r="AD59" s="170" t="str">
        <f>IF(D59="","",   IF(   $B$132,  AC59*KALKULATOR!$B$138,""))</f>
        <v/>
      </c>
      <c r="AF59" s="108" t="s">
        <v>468</v>
      </c>
      <c r="AG59" s="92">
        <f>[1]USVOJENE_VREDNOSTI!K111</f>
        <v>13.6638</v>
      </c>
      <c r="AH59" s="93">
        <f>[1]USVOJENE_VREDNOSTI!L111</f>
        <v>3.4159999999999999</v>
      </c>
    </row>
    <row r="60" spans="1:37" ht="15" thickBot="1">
      <c r="A60" s="2"/>
      <c r="B60" s="23"/>
      <c r="Q60" s="52"/>
      <c r="R60" s="52"/>
      <c r="S60" s="52"/>
      <c r="T60" s="52"/>
      <c r="U60" s="52"/>
      <c r="V60" s="52"/>
      <c r="W60" s="53" t="s">
        <v>208</v>
      </c>
      <c r="X60" s="143">
        <f>SUM(X52:X59)</f>
        <v>0</v>
      </c>
      <c r="Y60" s="143">
        <f>IF(B132,IF(SUM(Y52:Y59)=AVERAGE(Y52:Y59),SUM(Y52:Y59),"ГРЕШКА"),0)</f>
        <v>0</v>
      </c>
      <c r="AC60" s="142">
        <f>SUM(AC52:AC59)</f>
        <v>0</v>
      </c>
      <c r="AD60" s="143">
        <f>IF(   B134, IF(SUM(AD52:AD59)=AVERAGE(AD52:AD59),SUM(AD52:AD59),"ГРЕШКА"),0)</f>
        <v>0</v>
      </c>
      <c r="AF60" s="103" t="s">
        <v>469</v>
      </c>
      <c r="AG60" s="113">
        <f>[1]USVOJENE_VREDNOSTI!K112</f>
        <v>27.3276</v>
      </c>
      <c r="AH60" s="104">
        <f>[1]USVOJENE_VREDNOSTI!L112</f>
        <v>6.8319000000000001</v>
      </c>
    </row>
    <row r="61" spans="1:37">
      <c r="A61" s="2"/>
      <c r="B61" s="23"/>
      <c r="Q61" s="50"/>
      <c r="R61" s="50"/>
      <c r="S61" s="50"/>
      <c r="T61" s="50"/>
      <c r="U61" s="50"/>
      <c r="V61" s="50"/>
      <c r="W61" s="65"/>
      <c r="X61" s="50"/>
      <c r="Y61" s="50"/>
      <c r="AC61" s="50"/>
      <c r="AD61" s="50"/>
    </row>
    <row r="62" spans="1:37" s="68" customFormat="1" ht="5.0999999999999996" customHeight="1">
      <c r="A62" s="66"/>
      <c r="B62" s="67"/>
      <c r="Q62" s="69"/>
      <c r="R62" s="69"/>
      <c r="S62" s="69"/>
      <c r="T62" s="69"/>
      <c r="U62" s="69"/>
      <c r="V62" s="69"/>
      <c r="W62" s="70"/>
      <c r="X62" s="69"/>
      <c r="Y62" s="69"/>
      <c r="AC62" s="69"/>
      <c r="AD62" s="69"/>
    </row>
    <row r="63" spans="1:37" ht="15" thickBot="1">
      <c r="A63" s="2"/>
      <c r="B63" s="23"/>
      <c r="Q63" s="50"/>
      <c r="R63" s="50"/>
      <c r="S63" s="50"/>
      <c r="T63" s="50"/>
      <c r="U63" s="50"/>
      <c r="V63" s="50"/>
      <c r="W63" s="65"/>
    </row>
    <row r="64" spans="1:37" ht="16.2">
      <c r="A64" s="2"/>
      <c r="B64" s="3" t="s">
        <v>120</v>
      </c>
      <c r="C64" s="23"/>
      <c r="D64" s="23"/>
      <c r="K64" s="126" t="s">
        <v>333</v>
      </c>
      <c r="L64" s="101" t="s">
        <v>334</v>
      </c>
    </row>
    <row r="65" spans="1:12">
      <c r="A65" s="2"/>
      <c r="B65" s="3"/>
      <c r="C65" s="23"/>
      <c r="D65" s="23"/>
      <c r="K65" s="127" t="s">
        <v>67</v>
      </c>
      <c r="L65" s="128">
        <f>[1]USVOJENE_VREDNOSTI!C115</f>
        <v>3.5</v>
      </c>
    </row>
    <row r="66" spans="1:12" ht="15" thickBot="1">
      <c r="A66" s="2"/>
      <c r="B66" s="141" t="b">
        <f>UNOS!K14</f>
        <v>0</v>
      </c>
      <c r="C66" s="6" t="s">
        <v>228</v>
      </c>
      <c r="K66" s="129" t="s">
        <v>68</v>
      </c>
      <c r="L66" s="130">
        <f>[1]USVOJENE_VREDNOSTI!C116</f>
        <v>5.8</v>
      </c>
    </row>
    <row r="67" spans="1:12">
      <c r="A67" s="2"/>
      <c r="B67" s="3" t="s">
        <v>121</v>
      </c>
      <c r="C67" s="23"/>
      <c r="D67" s="23"/>
      <c r="K67" s="2"/>
      <c r="L67" s="1"/>
    </row>
    <row r="68" spans="1:12" ht="16.8" thickBot="1">
      <c r="A68" s="2" t="s">
        <v>127</v>
      </c>
      <c r="B68" s="140">
        <f>UNOS!F60</f>
        <v>0</v>
      </c>
      <c r="C68" s="6" t="s">
        <v>128</v>
      </c>
      <c r="D68" s="23"/>
      <c r="K68" s="2"/>
      <c r="L68" s="1"/>
    </row>
    <row r="69" spans="1:12" ht="16.8" thickBot="1">
      <c r="A69" s="2"/>
      <c r="B69" s="138" t="str">
        <f>IF(UNOS!K62=TRUE,UNOS!C62,IF(UNOS!K63=TRUE,UNOS!C63,"ГРЕШКА"))</f>
        <v>ГРЕШКА</v>
      </c>
      <c r="C69" s="6" t="s">
        <v>280</v>
      </c>
      <c r="D69" s="23"/>
      <c r="K69" s="131" t="s">
        <v>335</v>
      </c>
      <c r="L69" s="132" t="s">
        <v>334</v>
      </c>
    </row>
    <row r="70" spans="1:12">
      <c r="A70" s="2"/>
      <c r="B70" s="138" t="str">
        <f>IF(UNOS!K65=TRUE,"једноструки",IF(UNOS!K66=TRUE,"спојени двоструки",IF(UNOS!K67=TRUE,"дупла крила","ПРОВЕРИТИ УНОС")))</f>
        <v>ПРОВЕРИТИ УНОС</v>
      </c>
      <c r="C70" s="6" t="s">
        <v>281</v>
      </c>
      <c r="D70" s="23"/>
      <c r="K70" s="398" t="s">
        <v>10</v>
      </c>
      <c r="L70" s="399"/>
    </row>
    <row r="71" spans="1:12" ht="16.2">
      <c r="A71" s="2" t="s">
        <v>123</v>
      </c>
      <c r="B71" s="139">
        <f>IF(UNOS!K62,IF(UNOS!K65,L71,IF(UNOS!K66,L72,L73)),IF(UNOS!K65,L75,IF(UNOS!K66,L76,L77)))</f>
        <v>3.3</v>
      </c>
      <c r="C71" s="23"/>
      <c r="D71" s="23"/>
      <c r="K71" s="127" t="s">
        <v>337</v>
      </c>
      <c r="L71" s="128">
        <f>[1]USVOJENE_VREDNOSTI!C121</f>
        <v>5.2</v>
      </c>
    </row>
    <row r="72" spans="1:12">
      <c r="A72" s="2"/>
      <c r="B72" s="3" t="s">
        <v>122</v>
      </c>
      <c r="C72" s="23"/>
      <c r="D72" s="23"/>
      <c r="K72" s="127" t="s">
        <v>338</v>
      </c>
      <c r="L72" s="128">
        <f>[1]USVOJENE_VREDNOSTI!C122</f>
        <v>3.3</v>
      </c>
    </row>
    <row r="73" spans="1:12" ht="15" thickBot="1">
      <c r="A73" s="2" t="s">
        <v>34</v>
      </c>
      <c r="B73" s="138">
        <f>UNOS!C75</f>
        <v>0</v>
      </c>
      <c r="C73" s="23"/>
      <c r="D73" s="23"/>
      <c r="K73" s="129" t="s">
        <v>336</v>
      </c>
      <c r="L73" s="130">
        <f>[1]USVOJENE_VREDNOSTI!C123</f>
        <v>2.2999999999999998</v>
      </c>
    </row>
    <row r="74" spans="1:12">
      <c r="A74" s="2" t="s">
        <v>35</v>
      </c>
      <c r="B74" s="138">
        <f>UNOS!C76</f>
        <v>0</v>
      </c>
      <c r="C74" s="23"/>
      <c r="D74" s="23"/>
      <c r="K74" s="398" t="s">
        <v>11</v>
      </c>
      <c r="L74" s="399"/>
    </row>
    <row r="75" spans="1:12" ht="16.2">
      <c r="A75" s="2" t="s">
        <v>124</v>
      </c>
      <c r="B75" s="139">
        <f>UNOS!C77</f>
        <v>0</v>
      </c>
      <c r="C75" s="23"/>
      <c r="D75" s="23"/>
      <c r="K75" s="127" t="s">
        <v>337</v>
      </c>
      <c r="L75" s="128">
        <f>[1]USVOJENE_VREDNOSTI!C125</f>
        <v>5.8</v>
      </c>
    </row>
    <row r="76" spans="1:12">
      <c r="A76" s="2"/>
      <c r="B76" s="3" t="s">
        <v>125</v>
      </c>
      <c r="C76" s="23"/>
      <c r="D76" s="23"/>
      <c r="K76" s="127" t="s">
        <v>338</v>
      </c>
      <c r="L76" s="128">
        <f>[1]USVOJENE_VREDNOSTI!C126</f>
        <v>4</v>
      </c>
    </row>
    <row r="77" spans="1:12" ht="16.8" thickBot="1">
      <c r="A77" s="2" t="s">
        <v>127</v>
      </c>
      <c r="B77" s="140">
        <f>UNOS!F69</f>
        <v>0</v>
      </c>
      <c r="C77" s="6" t="s">
        <v>129</v>
      </c>
      <c r="D77" s="23"/>
      <c r="K77" s="129" t="s">
        <v>336</v>
      </c>
      <c r="L77" s="130">
        <f>[1]USVOJENE_VREDNOSTI!C127</f>
        <v>3.3</v>
      </c>
    </row>
    <row r="78" spans="1:12">
      <c r="A78" s="2"/>
      <c r="B78" s="6" t="str">
        <f>IF(UNOS!K71=TRUE,UNOS!C71,IF(UNOS!K72=TRUE,UNOS!C72,"ПРОВЕРИТИ УНОС"))</f>
        <v>ПРОВЕРИТИ УНОС</v>
      </c>
      <c r="C78" s="6" t="s">
        <v>282</v>
      </c>
      <c r="D78" s="23"/>
    </row>
    <row r="79" spans="1:12" ht="16.2">
      <c r="A79" s="2" t="s">
        <v>123</v>
      </c>
      <c r="B79" s="139">
        <f>IF(UNOS!K71=TRUE,L65,L66)</f>
        <v>5.8</v>
      </c>
      <c r="C79" s="23"/>
      <c r="D79" s="23"/>
    </row>
    <row r="80" spans="1:12">
      <c r="A80" s="2"/>
      <c r="B80" s="3" t="s">
        <v>126</v>
      </c>
      <c r="C80" s="23"/>
      <c r="D80" s="23"/>
      <c r="K80" t="s">
        <v>170</v>
      </c>
    </row>
    <row r="81" spans="1:14">
      <c r="A81" s="2" t="s">
        <v>34</v>
      </c>
      <c r="B81" s="138">
        <f>UNOS!C79</f>
        <v>0</v>
      </c>
      <c r="C81" s="23"/>
      <c r="D81" s="23"/>
      <c r="K81" s="133" t="s">
        <v>171</v>
      </c>
      <c r="L81" s="99" t="s">
        <v>172</v>
      </c>
      <c r="M81" s="99" t="s">
        <v>173</v>
      </c>
      <c r="N81" s="99" t="s">
        <v>174</v>
      </c>
    </row>
    <row r="82" spans="1:14">
      <c r="A82" s="2" t="s">
        <v>35</v>
      </c>
      <c r="B82" s="138">
        <f>UNOS!C80</f>
        <v>0</v>
      </c>
      <c r="C82" s="23"/>
      <c r="D82" s="23"/>
      <c r="K82" s="134" t="s">
        <v>175</v>
      </c>
      <c r="L82" s="99">
        <f>[1]USVOJENE_VREDNOSTI!C131</f>
        <v>1.5</v>
      </c>
      <c r="M82" s="99">
        <f>[1]USVOJENE_VREDNOSTI!D131</f>
        <v>0.8</v>
      </c>
      <c r="N82" s="99">
        <f>[1]USVOJENE_VREDNOSTI!E131</f>
        <v>0.5</v>
      </c>
    </row>
    <row r="83" spans="1:14" ht="16.2">
      <c r="A83" s="2" t="s">
        <v>124</v>
      </c>
      <c r="B83" s="139">
        <f>UNOS!C81</f>
        <v>0</v>
      </c>
      <c r="C83" s="23"/>
      <c r="D83" s="23"/>
      <c r="K83" s="134" t="s">
        <v>176</v>
      </c>
      <c r="L83" s="99">
        <f>[1]USVOJENE_VREDNOSTI!C132</f>
        <v>1.1000000000000001</v>
      </c>
      <c r="M83" s="99">
        <f>[1]USVOJENE_VREDNOSTI!D132</f>
        <v>0.6</v>
      </c>
      <c r="N83" s="99">
        <f>[1]USVOJENE_VREDNOSTI!E132</f>
        <v>0.5</v>
      </c>
    </row>
    <row r="84" spans="1:14">
      <c r="A84" s="2"/>
      <c r="B84" s="3" t="s">
        <v>140</v>
      </c>
      <c r="C84" s="23"/>
      <c r="D84" s="23"/>
      <c r="K84" s="134" t="s">
        <v>177</v>
      </c>
      <c r="L84" s="99">
        <f>[1]USVOJENE_VREDNOSTI!C133</f>
        <v>0.76</v>
      </c>
      <c r="M84" s="99">
        <f>[1]USVOJENE_VREDNOSTI!D133</f>
        <v>0.5</v>
      </c>
      <c r="N84" s="99">
        <f>[1]USVOJENE_VREDNOSTI!E133</f>
        <v>0.5</v>
      </c>
    </row>
    <row r="85" spans="1:14" ht="15.6">
      <c r="A85" s="2" t="s">
        <v>131</v>
      </c>
      <c r="B85" s="135">
        <f>IF(B66,KALKULATOR!B71*UNOS!F60*24*KALKULATOR!C22/1000*C28,0)</f>
        <v>0</v>
      </c>
      <c r="C85" s="6" t="s">
        <v>132</v>
      </c>
      <c r="D85" s="23"/>
      <c r="J85" s="3"/>
    </row>
    <row r="86" spans="1:14" ht="16.8">
      <c r="A86" s="2" t="s">
        <v>130</v>
      </c>
      <c r="B86" s="135">
        <f>IF(B66,KALKULATOR!B75*UNOS!F60*24*KALKULATOR!C22/1000*C28,0)</f>
        <v>0</v>
      </c>
      <c r="C86" s="6" t="s">
        <v>133</v>
      </c>
      <c r="D86" s="23"/>
    </row>
    <row r="87" spans="1:14" ht="15.6">
      <c r="A87" s="2" t="s">
        <v>134</v>
      </c>
      <c r="B87" s="135">
        <f>B85-B86</f>
        <v>0</v>
      </c>
      <c r="C87" s="6" t="s">
        <v>135</v>
      </c>
      <c r="D87" s="23"/>
    </row>
    <row r="88" spans="1:14">
      <c r="A88" s="2"/>
      <c r="B88" s="136" t="str">
        <f>IF(UNOS!K25=TRUE,KALKULATOR!L82, IF(UNOS!K26=TRUE,KALKULATOR!L83,IF(UNOS!K27=TRUE,KALKULATOR!L83, "ПРОВЕРА" ) ))</f>
        <v>ПРОВЕРА</v>
      </c>
      <c r="C88" s="6" t="s">
        <v>181</v>
      </c>
      <c r="D88" s="23"/>
    </row>
    <row r="89" spans="1:14">
      <c r="A89" s="2"/>
      <c r="B89" s="136">
        <v>0.5</v>
      </c>
      <c r="C89" s="6" t="s">
        <v>180</v>
      </c>
      <c r="D89" s="23"/>
    </row>
    <row r="90" spans="1:14" ht="15.6">
      <c r="A90" s="2" t="s">
        <v>136</v>
      </c>
      <c r="B90" s="135">
        <f>IF(UNOS!K14,0.33*C26*B88*24*KALKULATOR!C22/1000*C28,0)</f>
        <v>0</v>
      </c>
      <c r="C90" s="6" t="s">
        <v>278</v>
      </c>
      <c r="D90" s="23"/>
    </row>
    <row r="91" spans="1:14" ht="16.8">
      <c r="A91" s="2" t="s">
        <v>137</v>
      </c>
      <c r="B91" s="135">
        <f>IF(UNOS!K14,0.33*C26*B89*24*KALKULATOR!C22/1000*C28,0)</f>
        <v>0</v>
      </c>
      <c r="C91" s="6" t="s">
        <v>279</v>
      </c>
      <c r="D91" s="23"/>
    </row>
    <row r="92" spans="1:14" ht="15.6">
      <c r="A92" s="2" t="s">
        <v>138</v>
      </c>
      <c r="B92" s="135">
        <f>B90-B91</f>
        <v>0</v>
      </c>
      <c r="C92" s="6" t="s">
        <v>517</v>
      </c>
      <c r="D92" s="23"/>
    </row>
    <row r="93" spans="1:14" ht="15.6">
      <c r="A93" s="16" t="s">
        <v>139</v>
      </c>
      <c r="B93" s="137">
        <f>B87+B92</f>
        <v>0</v>
      </c>
      <c r="C93" s="5" t="s">
        <v>351</v>
      </c>
      <c r="D93" s="24"/>
    </row>
    <row r="94" spans="1:14">
      <c r="A94" s="16"/>
      <c r="B94" s="137">
        <f>IF(B66,B93/$B$139,0)</f>
        <v>0</v>
      </c>
      <c r="C94" s="5" t="s">
        <v>370</v>
      </c>
      <c r="D94" s="24"/>
    </row>
    <row r="95" spans="1:14">
      <c r="A95" s="16"/>
      <c r="B95" s="137">
        <f>IF(B66,B94*$B$143,0)</f>
        <v>0</v>
      </c>
      <c r="C95" s="5" t="s">
        <v>371</v>
      </c>
      <c r="D95" s="24"/>
    </row>
    <row r="96" spans="1:14">
      <c r="A96" s="16"/>
      <c r="B96" s="137">
        <f>IF(B66,B94*$B$147,0)</f>
        <v>0</v>
      </c>
      <c r="C96" s="5" t="s">
        <v>372</v>
      </c>
      <c r="D96" s="24"/>
    </row>
    <row r="97" spans="1:30" ht="15.6">
      <c r="A97" s="16"/>
      <c r="B97" s="137">
        <f>IF(B66,B95*$B$151,0)</f>
        <v>0</v>
      </c>
      <c r="C97" s="5" t="s">
        <v>373</v>
      </c>
      <c r="D97" s="24"/>
    </row>
    <row r="98" spans="1:30">
      <c r="A98" s="2"/>
      <c r="B98" s="23"/>
      <c r="C98" s="23"/>
      <c r="D98" s="23"/>
    </row>
    <row r="99" spans="1:30" s="68" customFormat="1" ht="5.0999999999999996" customHeight="1">
      <c r="A99" s="66"/>
      <c r="B99" s="67"/>
      <c r="Q99" s="69"/>
      <c r="R99" s="69"/>
      <c r="S99" s="69"/>
      <c r="T99" s="69"/>
      <c r="U99" s="69"/>
      <c r="V99" s="69"/>
      <c r="W99" s="70"/>
      <c r="X99" s="69"/>
      <c r="Y99" s="69"/>
      <c r="AC99" s="69"/>
      <c r="AD99" s="69"/>
    </row>
    <row r="100" spans="1:30">
      <c r="A100" s="2"/>
      <c r="B100" s="23"/>
      <c r="Q100" s="50"/>
      <c r="R100" s="50"/>
      <c r="S100" s="50"/>
      <c r="T100" s="50"/>
      <c r="U100" s="50"/>
      <c r="V100" s="50"/>
      <c r="W100" s="65"/>
    </row>
    <row r="101" spans="1:30">
      <c r="B101" s="3" t="s">
        <v>104</v>
      </c>
    </row>
    <row r="102" spans="1:30">
      <c r="B102" s="3" t="s">
        <v>105</v>
      </c>
    </row>
    <row r="104" spans="1:30">
      <c r="A104" s="2"/>
      <c r="B104" s="141" t="b">
        <f>UNOS!K15</f>
        <v>0</v>
      </c>
      <c r="C104" s="6" t="s">
        <v>230</v>
      </c>
    </row>
    <row r="105" spans="1:30">
      <c r="A105" s="2"/>
      <c r="B105" s="141" t="b">
        <f>UNOS!K16</f>
        <v>0</v>
      </c>
      <c r="C105" s="6" t="s">
        <v>229</v>
      </c>
    </row>
    <row r="106" spans="1:30">
      <c r="B106" s="3" t="s">
        <v>98</v>
      </c>
    </row>
    <row r="107" spans="1:30">
      <c r="B107" t="s">
        <v>99</v>
      </c>
    </row>
    <row r="108" spans="1:30">
      <c r="B108" s="393" t="s">
        <v>108</v>
      </c>
      <c r="C108" s="394"/>
      <c r="D108" s="10" t="s">
        <v>109</v>
      </c>
      <c r="E108" s="10" t="s">
        <v>109</v>
      </c>
      <c r="F108" s="10" t="s">
        <v>109</v>
      </c>
      <c r="L108" s="21"/>
    </row>
    <row r="109" spans="1:30">
      <c r="A109" s="16" t="str">
        <f>UNOS!D85</f>
        <v>конструкција:</v>
      </c>
      <c r="B109" s="17">
        <f>UNOS!E85</f>
        <v>1</v>
      </c>
      <c r="C109" s="17">
        <f>UNOS!F85</f>
        <v>2</v>
      </c>
      <c r="D109" s="17">
        <f>UNOS!G85</f>
        <v>3</v>
      </c>
      <c r="E109" s="17">
        <f>UNOS!H85</f>
        <v>4</v>
      </c>
      <c r="F109" s="17">
        <f>UNOS!I85</f>
        <v>5</v>
      </c>
    </row>
    <row r="110" spans="1:30" ht="28.8">
      <c r="A110" s="16"/>
      <c r="B110" s="178" t="str">
        <f>UNOS!E86</f>
        <v>Спољни зид</v>
      </c>
      <c r="C110" s="178" t="str">
        <f>UNOS!F86</f>
        <v>Под на тлу</v>
      </c>
      <c r="D110" s="178" t="str">
        <f>UNOS!G86</f>
        <v>Под изнад негрејаног простора</v>
      </c>
      <c r="E110" s="178" t="str">
        <f>UNOS!H86</f>
        <v>Таваница испод негрејаног простора</v>
      </c>
      <c r="F110" s="178" t="str">
        <f>UNOS!I86</f>
        <v>Кров изнад грејаног простора</v>
      </c>
    </row>
    <row r="111" spans="1:30" ht="30" customHeight="1">
      <c r="A111" s="2" t="s">
        <v>291</v>
      </c>
      <c r="B111" s="179" t="str">
        <f>IF(   SUM(  UNOS!E87:E116  ) = 0,   "по типологији",   IF(   UNOS!E116  = 0,   "по саставу конструкције",   "по дебљини конструкције"   ))</f>
        <v>по типологији</v>
      </c>
      <c r="C111" s="179" t="str">
        <f>IF(   SUM(  UNOS!F87:F116  ) = 0,   "по типологији",   IF(   UNOS!F116  = 0,   "по саставу конструкције",   "по дебљини конструкције"   ))</f>
        <v>по типологији</v>
      </c>
      <c r="D111" s="179" t="str">
        <f>IF(   SUM(  UNOS!G87:G116  ) = 0,   "по типологији",   IF(   UNOS!G116  = 0,   "по саставу конструкције",   "по дебљини конструкције"   ))</f>
        <v>по типологији</v>
      </c>
      <c r="E111" s="179" t="str">
        <f>IF(   SUM(  UNOS!H87:H116  ) = 0,   "по типологији",   IF(   UNOS!H116  = 0,   "по саставу конструкције",   "по дебљини конструкције"   ))</f>
        <v>по типологији</v>
      </c>
      <c r="F111" s="179" t="str">
        <f>IF(   SUM(  UNOS!I87:I116  ) = 0,   "по типологији",   IF(   UNOS!I116  = 0,   "по саставу конструкције",   "по дебљини конструкције"   ))</f>
        <v>по типологији</v>
      </c>
    </row>
    <row r="112" spans="1:30" ht="16.2">
      <c r="A112" s="2" t="s">
        <v>289</v>
      </c>
      <c r="B112" s="180">
        <f>IF(B104,1/VLOOKUP($C$27,$G$38:$O$45,2,FALSE),0)</f>
        <v>0</v>
      </c>
      <c r="C112" s="180">
        <f>IF(B104,1/VLOOKUP($C$27,$G$38:$O$45,4,FALSE),0)</f>
        <v>0</v>
      </c>
      <c r="D112" s="180">
        <f>IF(B104,1/VLOOKUP($C$27,$G$38:$O$45,6,FALSE),0)</f>
        <v>0</v>
      </c>
      <c r="E112" s="180">
        <f>IF(B105,1/VLOOKUP($C$27,$G$38:$O$45,8,FALSE),0)</f>
        <v>0</v>
      </c>
      <c r="F112" s="180">
        <f>IF(B105,1/VLOOKUP($C$27,G37:P45,10,FALSE),0)</f>
        <v>0</v>
      </c>
    </row>
    <row r="113" spans="1:6" ht="16.2">
      <c r="A113" s="2" t="s">
        <v>110</v>
      </c>
      <c r="B113" s="146">
        <v>0.17</v>
      </c>
      <c r="C113" s="146">
        <v>0.17</v>
      </c>
      <c r="D113" s="146">
        <v>0.34</v>
      </c>
      <c r="E113" s="146">
        <v>0.2</v>
      </c>
      <c r="F113" s="146">
        <v>0.14000000000000001</v>
      </c>
    </row>
    <row r="114" spans="1:6" ht="16.2">
      <c r="A114" s="2" t="s">
        <v>288</v>
      </c>
      <c r="B114" s="180">
        <f>IF(   B111="по дебљини конструкције", B113+UNOS!E116/100/UNOS!$K116,  B113 + SUMPRODUCT(UNOS!E87:E115,UNOS!$L87:$L115)/100)</f>
        <v>0.17</v>
      </c>
      <c r="C114" s="180">
        <f>IF(   C111="по дебљини конструкције", C113+UNOS!F116/100/UNOS!$K116,  C113 + SUMPRODUCT(UNOS!F87:F115,UNOS!$L87:$L115)/100)</f>
        <v>0.17</v>
      </c>
      <c r="D114" s="180">
        <f>IF(   D111="по дебљини конструкције", D113+UNOS!G116/100/UNOS!$K116,  D113 + SUMPRODUCT(UNOS!G87:G115,UNOS!$L87:$L115)/100)</f>
        <v>0.34</v>
      </c>
      <c r="E114" s="180">
        <f>IF(   E111="по дебљини конструкције", E113+UNOS!H116/100/UNOS!$K116,  E113 + SUMPRODUCT(UNOS!H87:H115,UNOS!$L87:$L115)/100)</f>
        <v>0.2</v>
      </c>
      <c r="F114" s="180">
        <f>IF(   F111="по дебљини конструкције", F113+UNOS!I116/100/UNOS!$K116,  F113 + SUMPRODUCT(UNOS!I87:I115,UNOS!$L87:$L115)/100)</f>
        <v>0.14000000000000001</v>
      </c>
    </row>
    <row r="115" spans="1:6" ht="16.2">
      <c r="A115" s="2" t="s">
        <v>117</v>
      </c>
      <c r="B115" s="180">
        <f>IF(B104,IF(B111="по типологији",1/B112,1/B114),0)</f>
        <v>0</v>
      </c>
      <c r="C115" s="180">
        <f>IF(B104,IF(C111="по типологији",1/C112,1/C114),0)</f>
        <v>0</v>
      </c>
      <c r="D115" s="180">
        <f>IF(B104,IF(D111="по типологији",1/D112,1/D114),0)</f>
        <v>0</v>
      </c>
      <c r="E115" s="180">
        <f>IF(B105,IF(E111="по типологији",1/E112,1/E114),0)</f>
        <v>0</v>
      </c>
      <c r="F115" s="180">
        <f>IF(B105,IF(F111="по типологији",1/F112,1/F114),0)</f>
        <v>0</v>
      </c>
    </row>
    <row r="116" spans="1:6" ht="16.2">
      <c r="A116" s="14" t="s">
        <v>111</v>
      </c>
      <c r="B116" s="146">
        <f>UNOS!E119</f>
        <v>0</v>
      </c>
      <c r="C116" s="146">
        <f>UNOS!F119</f>
        <v>0</v>
      </c>
      <c r="D116" s="146">
        <f>UNOS!G119</f>
        <v>0</v>
      </c>
      <c r="E116" s="146">
        <f>UNOS!H119</f>
        <v>0</v>
      </c>
      <c r="F116" s="146">
        <f>UNOS!I119</f>
        <v>0</v>
      </c>
    </row>
    <row r="117" spans="1:6">
      <c r="A117" s="2" t="s">
        <v>113</v>
      </c>
      <c r="B117" s="146">
        <f>IF(B110   =   "Спољни зид",   1,    IF(B110   =   "Унутрашњи зид ка негрејаном простору",   0.5,    IF(B110   =   "Под на тлу",   0.5,    IF(B110   =   "Под изнад негрејаног простора",   0.5,    IF(B110   =   "Кров изнад грејаног простора",   1,    IF(B110   =   "Таваница испод негрејаног простора",   0.8,    "Трешка у уносу"   )   )   )   )   )   )</f>
        <v>1</v>
      </c>
      <c r="C117" s="146">
        <f>IF(C110   =   "Спољни зид",   1,    IF(C110   =   "Унутрашњи зид ка негрејаном простору",   0.5,    IF(C110   =   "Под на тлу",   0.5,    IF(C110   =   "Под изнад негрејаног простора",   0.5,    IF(C110   =   "Кров изнад грејаног простора",   1,    IF(C110   =   "Таваница испод негрејаног простора",   0.8,    "Трешка у уносу"   )   )   )   )   )   )</f>
        <v>0.5</v>
      </c>
      <c r="D117" s="146">
        <f>IF(D110   =   "Спољни зид",   1,    IF(D110   =   "Унутрашњи зид ка негрејаном простору",   0.5,    IF(D110   =   "Под на тлу",   0.5,    IF(D110   =   "Под изнад негрејаног простора",   0.5,    IF(D110   =   "Кров изнад грејаног простора",   1,    IF(D110   =   "Таваница испод негрејаног простора",   0.8,    "Трешка у уносу"   )   )   )   )   )   )</f>
        <v>0.5</v>
      </c>
      <c r="E117" s="146">
        <f>IF(E110   =   "Спољни зид",   1,    IF(E110   =   "Унутрашњи зид ка негрејаном простору",   0.5,    IF(E110   =   "Под на тлу",   0.5,    IF(E110   =   "Под изнад негрејаног простора",   0.5,    IF(E110   =   "Кров изнад грејаног простора",   1,    IF(E110   =   "Таваница испод негрејаног простора",   0.8,    "Трешка у уносу"   )   )   )   )   )   )</f>
        <v>0.8</v>
      </c>
      <c r="F117" s="146">
        <f>IF(F110   =   "Спољни зид",   1,    IF(F110   =   "Унутрашњи зид ка негрејаном простору",   0.5,    IF(F110   =   "Под на тлу",   0.5,    IF(F110   =   "Под изнад негрејаног простора",   0.5,    IF(F110   =   "Кров изнад грејаног простора",   1,    IF(F110   =   "Таваница испод негрејаног простора",   0.8,    "Трешка у уносу"   )   )   )   )   )   )</f>
        <v>1</v>
      </c>
    </row>
    <row r="118" spans="1:6">
      <c r="A118" s="2" t="s">
        <v>112</v>
      </c>
      <c r="B118" s="181">
        <f>B116*B115*B117</f>
        <v>0</v>
      </c>
      <c r="C118" s="181">
        <f>C116*C115*C117</f>
        <v>0</v>
      </c>
      <c r="D118" s="181">
        <f>D116*D115*D117</f>
        <v>0</v>
      </c>
      <c r="E118" s="181">
        <f>E116*E115*E117</f>
        <v>0</v>
      </c>
      <c r="F118" s="181">
        <f>F116*F115*F117</f>
        <v>0</v>
      </c>
    </row>
    <row r="119" spans="1:6">
      <c r="A119" s="2" t="s">
        <v>142</v>
      </c>
      <c r="B119" s="147" t="e">
        <f>B118*$C$22*24/1000*$C$28</f>
        <v>#N/A</v>
      </c>
      <c r="C119" s="147" t="e">
        <f>C118*$C$22*24/1000*$C$28</f>
        <v>#N/A</v>
      </c>
      <c r="D119" s="147" t="e">
        <f>D118*$C$22*24/1000*$C$28</f>
        <v>#N/A</v>
      </c>
      <c r="E119" s="147" t="e">
        <f>E118*$C$22*24/1000*$C$28</f>
        <v>#N/A</v>
      </c>
      <c r="F119" s="147" t="e">
        <f>F118*$C$22*24/1000*$C$28</f>
        <v>#N/A</v>
      </c>
    </row>
    <row r="120" spans="1:6" ht="16.2">
      <c r="A120" s="2" t="s">
        <v>114</v>
      </c>
      <c r="B120" s="180">
        <f>IF(UNOS!E120&lt;&gt;0,UNOS!E120/100/UNOS!E121,0)</f>
        <v>0</v>
      </c>
      <c r="C120" s="180">
        <f>IF(UNOS!F120&lt;&gt;0,UNOS!F120/100/UNOS!F121,0)</f>
        <v>0</v>
      </c>
      <c r="D120" s="180">
        <f>IF(UNOS!G120&lt;&gt;0,UNOS!G120/100/UNOS!G121,0)</f>
        <v>0</v>
      </c>
      <c r="E120" s="180">
        <f>IF(UNOS!H120&lt;&gt;0,UNOS!H120/100/UNOS!H121,0)</f>
        <v>0</v>
      </c>
      <c r="F120" s="180">
        <f>IF(UNOS!I120&lt;&gt;0,UNOS!I120/100/UNOS!I121,0)</f>
        <v>0</v>
      </c>
    </row>
    <row r="121" spans="1:6" ht="16.2">
      <c r="A121" s="2" t="s">
        <v>115</v>
      </c>
      <c r="B121" s="180">
        <f>IF(B115&lt;&gt;0,1/B115+B120,0)</f>
        <v>0</v>
      </c>
      <c r="C121" s="180">
        <f t="shared" ref="C121:F121" si="12">IF(C115&lt;&gt;0,1/C115+C120,0)</f>
        <v>0</v>
      </c>
      <c r="D121" s="180">
        <f t="shared" si="12"/>
        <v>0</v>
      </c>
      <c r="E121" s="180">
        <f t="shared" si="12"/>
        <v>0</v>
      </c>
      <c r="F121" s="180">
        <f t="shared" si="12"/>
        <v>0</v>
      </c>
    </row>
    <row r="122" spans="1:6" ht="16.2">
      <c r="A122" s="2" t="s">
        <v>118</v>
      </c>
      <c r="B122" s="180">
        <f>IF(B104,1/KALKULATOR!B121,0)</f>
        <v>0</v>
      </c>
      <c r="C122" s="180">
        <f>IF(B104,1/KALKULATOR!C121,0)</f>
        <v>0</v>
      </c>
      <c r="D122" s="180">
        <f>IF(B104,1/KALKULATOR!D121,0)</f>
        <v>0</v>
      </c>
      <c r="E122" s="180">
        <f>IF(B105,1/KALKULATOR!E121,0)</f>
        <v>0</v>
      </c>
      <c r="F122" s="180">
        <f>IF(B105,1/KALKULATOR!F121,0)</f>
        <v>0</v>
      </c>
    </row>
    <row r="123" spans="1:6">
      <c r="A123" s="2" t="s">
        <v>116</v>
      </c>
      <c r="B123" s="181">
        <f>B122*B116</f>
        <v>0</v>
      </c>
      <c r="C123" s="181">
        <f t="shared" ref="C123" si="13">C122*C116</f>
        <v>0</v>
      </c>
      <c r="D123" s="181">
        <f>D122*D116</f>
        <v>0</v>
      </c>
      <c r="E123" s="181">
        <f>E122*E116</f>
        <v>0</v>
      </c>
      <c r="F123" s="181">
        <f>F122*F116</f>
        <v>0</v>
      </c>
    </row>
    <row r="124" spans="1:6">
      <c r="A124" s="2" t="s">
        <v>141</v>
      </c>
      <c r="B124" s="147" t="e">
        <f>B123*$C$22*24/1000*$C28</f>
        <v>#N/A</v>
      </c>
      <c r="C124" s="147" t="e">
        <f>C123*$C$22*24/1000*$C28</f>
        <v>#N/A</v>
      </c>
      <c r="D124" s="147" t="e">
        <f>D123*$C$22*24/1000*$C28</f>
        <v>#N/A</v>
      </c>
      <c r="E124" s="147" t="e">
        <f>E123*$C$22*24/1000*$C28</f>
        <v>#N/A</v>
      </c>
      <c r="F124" s="147" t="e">
        <f>F123*$C$22*24/1000*$C28</f>
        <v>#N/A</v>
      </c>
    </row>
    <row r="125" spans="1:6">
      <c r="A125" s="16" t="s">
        <v>363</v>
      </c>
      <c r="B125" s="182">
        <f>IF(UNOS!K15,B119-B124,0)</f>
        <v>0</v>
      </c>
      <c r="C125" s="182">
        <f>IF(UNOS!K15,C119-C124,0)</f>
        <v>0</v>
      </c>
      <c r="D125" s="182">
        <f>IF(UNOS!K16,D119-D124,0)</f>
        <v>0</v>
      </c>
      <c r="E125" s="182">
        <f>IF(UNOS!K16,E119-E124,0)</f>
        <v>0</v>
      </c>
      <c r="F125" s="182">
        <f>IF(UNOS!L16,F119-F124,0)</f>
        <v>0</v>
      </c>
    </row>
    <row r="126" spans="1:6">
      <c r="A126" s="16" t="s">
        <v>364</v>
      </c>
      <c r="B126" s="182">
        <f>IF(B104,B125/$B$139,0)</f>
        <v>0</v>
      </c>
      <c r="C126" s="182">
        <f>IF(B104,C125/$B$139,0)</f>
        <v>0</v>
      </c>
      <c r="D126" s="182">
        <f>IF(B104,D125/$B$139,0)</f>
        <v>0</v>
      </c>
      <c r="E126" s="182">
        <f>IF(B105,E125/$B$139,0)</f>
        <v>0</v>
      </c>
      <c r="F126" s="182">
        <f>IF(B105,F125/$B$139,0)</f>
        <v>0</v>
      </c>
    </row>
    <row r="127" spans="1:6">
      <c r="A127" s="16" t="s">
        <v>365</v>
      </c>
      <c r="B127" s="182">
        <f>IF(B104,B126*$B$143,0)</f>
        <v>0</v>
      </c>
      <c r="C127" s="182">
        <f>IF(B104,C126*$B$143,0)</f>
        <v>0</v>
      </c>
      <c r="D127" s="182">
        <f>IF(B104,D126*$B$143,0)</f>
        <v>0</v>
      </c>
      <c r="E127" s="182">
        <f>IF(B105,E126*$B$143,0)</f>
        <v>0</v>
      </c>
      <c r="F127" s="182">
        <f>IF(B105,F126*$B$143,0)</f>
        <v>0</v>
      </c>
    </row>
    <row r="128" spans="1:6">
      <c r="A128" s="16" t="s">
        <v>367</v>
      </c>
      <c r="B128" s="182">
        <f>IF(B104,B126*$B$147,0)</f>
        <v>0</v>
      </c>
      <c r="C128" s="182">
        <f>IF(B104,C126*$B$147,0)</f>
        <v>0</v>
      </c>
      <c r="D128" s="182">
        <f>IF(B104,D126*$B$147,0)</f>
        <v>0</v>
      </c>
      <c r="E128" s="182">
        <f>IF(B105,E126*$B$147,0)</f>
        <v>0</v>
      </c>
      <c r="F128" s="182">
        <f>IF(B105,F126*$B$147,0)</f>
        <v>0</v>
      </c>
    </row>
    <row r="129" spans="1:22" ht="15.6">
      <c r="A129" s="16" t="s">
        <v>366</v>
      </c>
      <c r="B129" s="182">
        <f>IF(B104,B127*$B$151,0)</f>
        <v>0</v>
      </c>
      <c r="C129" s="182">
        <f>IF(B104,C127*$B$151,0)</f>
        <v>0</v>
      </c>
      <c r="D129" s="182">
        <f>IF(B104,D127*$B$151,0)</f>
        <v>0</v>
      </c>
      <c r="E129" s="182">
        <f>IF(B105,E127*$B$151,0)</f>
        <v>0</v>
      </c>
      <c r="F129" s="182">
        <f>IF(B105,F127*$B$151,0)</f>
        <v>0</v>
      </c>
    </row>
    <row r="130" spans="1:22">
      <c r="A130" s="2"/>
      <c r="B130" s="23"/>
      <c r="C130" s="23"/>
      <c r="D130" s="23"/>
    </row>
    <row r="131" spans="1:22">
      <c r="A131" s="51" t="s">
        <v>233</v>
      </c>
      <c r="B131" s="23"/>
      <c r="V131" s="2"/>
    </row>
    <row r="132" spans="1:22">
      <c r="A132" s="2"/>
      <c r="B132" s="183" t="b">
        <f>IF(OR(UNOS!K14,UNOS!K15,UNOS!K16),TRUE,FALSE)</f>
        <v>0</v>
      </c>
      <c r="C132" s="3" t="s">
        <v>194</v>
      </c>
    </row>
    <row r="133" spans="1:22" ht="15.6">
      <c r="A133" s="16" t="s">
        <v>145</v>
      </c>
      <c r="B133" s="184">
        <f>E46</f>
        <v>0</v>
      </c>
      <c r="C133" s="5" t="s">
        <v>352</v>
      </c>
    </row>
    <row r="134" spans="1:22" ht="15.6">
      <c r="A134" s="16" t="s">
        <v>145</v>
      </c>
      <c r="B134" s="184">
        <f>IF(B132,B85+B90+B119+C119+D119+E119+F119,0)</f>
        <v>0</v>
      </c>
      <c r="C134" s="5" t="s">
        <v>353</v>
      </c>
    </row>
    <row r="135" spans="1:22" ht="15.6">
      <c r="A135" s="16" t="s">
        <v>145</v>
      </c>
      <c r="B135" s="185">
        <f>IF(B132,MAX(B133:B134),B133)</f>
        <v>0</v>
      </c>
      <c r="C135" s="5" t="s">
        <v>354</v>
      </c>
    </row>
    <row r="136" spans="1:22" ht="15.6">
      <c r="A136" s="16" t="s">
        <v>182</v>
      </c>
      <c r="B136" s="184">
        <f>IF(B132,B93+B125+C125+D125+E125+F125,0)</f>
        <v>0</v>
      </c>
      <c r="C136" s="5" t="s">
        <v>349</v>
      </c>
    </row>
    <row r="137" spans="1:22" ht="15.6">
      <c r="A137" s="16" t="s">
        <v>145</v>
      </c>
      <c r="B137" s="185">
        <f>B135-B136</f>
        <v>0</v>
      </c>
      <c r="C137" s="5" t="s">
        <v>355</v>
      </c>
    </row>
    <row r="138" spans="1:22">
      <c r="A138" s="16"/>
      <c r="B138" s="186">
        <f>IF(B132,B136/B135,0)</f>
        <v>0</v>
      </c>
      <c r="C138" s="5" t="s">
        <v>356</v>
      </c>
    </row>
    <row r="139" spans="1:22">
      <c r="A139" s="2"/>
      <c r="B139" s="187" t="e">
        <f>VLOOKUP(C29,B52:O59,9,FALSE)</f>
        <v>#N/A</v>
      </c>
      <c r="C139" s="6" t="s">
        <v>195</v>
      </c>
    </row>
    <row r="140" spans="1:22" ht="15.6">
      <c r="A140" s="16" t="s">
        <v>184</v>
      </c>
      <c r="B140" s="184">
        <f>IF(B132,B135/B139,D51)</f>
        <v>0</v>
      </c>
      <c r="C140" s="5" t="s">
        <v>187</v>
      </c>
    </row>
    <row r="141" spans="1:22" ht="15.6">
      <c r="A141" s="16" t="s">
        <v>184</v>
      </c>
      <c r="B141" s="184">
        <f>IF(B132,B137/B139,D51)</f>
        <v>0</v>
      </c>
      <c r="C141" s="5" t="s">
        <v>234</v>
      </c>
    </row>
    <row r="142" spans="1:22">
      <c r="A142" s="2"/>
      <c r="B142" s="184">
        <f>B140-B141</f>
        <v>0</v>
      </c>
      <c r="C142" s="5" t="s">
        <v>240</v>
      </c>
      <c r="V142" s="2"/>
    </row>
    <row r="143" spans="1:22">
      <c r="A143" s="2"/>
      <c r="B143" s="188" t="e">
        <f>VLOOKUP(C29,$B$52:$P$59,14,FALSE)</f>
        <v>#N/A</v>
      </c>
      <c r="C143" s="6" t="s">
        <v>231</v>
      </c>
    </row>
    <row r="144" spans="1:22" ht="15.6">
      <c r="A144" s="16" t="s">
        <v>197</v>
      </c>
      <c r="B144" s="184" t="e">
        <f>B143*B140</f>
        <v>#N/A</v>
      </c>
      <c r="C144" s="5" t="s">
        <v>247</v>
      </c>
    </row>
    <row r="145" spans="1:30" ht="15.6">
      <c r="A145" s="16" t="s">
        <v>197</v>
      </c>
      <c r="B145" s="184" t="e">
        <f>B141*B143</f>
        <v>#N/A</v>
      </c>
      <c r="C145" s="5" t="s">
        <v>248</v>
      </c>
    </row>
    <row r="146" spans="1:30" ht="15.6">
      <c r="A146" s="16" t="s">
        <v>182</v>
      </c>
      <c r="B146" s="184" t="e">
        <f>B144-B145</f>
        <v>#N/A</v>
      </c>
      <c r="C146" s="5" t="s">
        <v>205</v>
      </c>
    </row>
    <row r="147" spans="1:30">
      <c r="A147" s="16"/>
      <c r="B147" s="187">
        <f>IF(B132,VLOOKUP(C29,B52:W59,22,FALSE),0)</f>
        <v>0</v>
      </c>
      <c r="C147" s="6" t="s">
        <v>238</v>
      </c>
    </row>
    <row r="148" spans="1:30">
      <c r="A148" s="16"/>
      <c r="B148" s="184">
        <f>B147*B140</f>
        <v>0</v>
      </c>
      <c r="C148" s="5" t="s">
        <v>388</v>
      </c>
    </row>
    <row r="149" spans="1:30">
      <c r="A149" s="16"/>
      <c r="B149" s="184">
        <f>IF(OR(UNOS!K14,UNOS!K15,UNOS!K16),B147*B141,B148)</f>
        <v>0</v>
      </c>
      <c r="C149" s="5" t="s">
        <v>387</v>
      </c>
    </row>
    <row r="150" spans="1:30">
      <c r="A150" s="16"/>
      <c r="B150" s="184">
        <f>B148-B149</f>
        <v>0</v>
      </c>
      <c r="C150" s="5" t="s">
        <v>209</v>
      </c>
    </row>
    <row r="151" spans="1:30">
      <c r="A151" s="16"/>
      <c r="B151" s="187">
        <f>IF(B132,VLOOKUP(C29,B52:AB59,27,FALSE),0)</f>
        <v>0</v>
      </c>
      <c r="C151" s="6" t="s">
        <v>369</v>
      </c>
    </row>
    <row r="152" spans="1:30">
      <c r="A152" s="16"/>
      <c r="B152" s="184">
        <f>IF(B132,AC60,0)</f>
        <v>0</v>
      </c>
      <c r="C152" s="5" t="s">
        <v>389</v>
      </c>
    </row>
    <row r="153" spans="1:30">
      <c r="A153" s="16"/>
      <c r="B153" s="184">
        <f>IF(B132,AC60-AD60,0)</f>
        <v>0</v>
      </c>
      <c r="C153" s="5" t="s">
        <v>390</v>
      </c>
    </row>
    <row r="154" spans="1:30">
      <c r="A154" s="16"/>
      <c r="B154" s="184">
        <f>B152-B153</f>
        <v>0</v>
      </c>
      <c r="C154" s="5" t="s">
        <v>210</v>
      </c>
    </row>
    <row r="155" spans="1:30">
      <c r="A155" s="16"/>
      <c r="B155" s="49"/>
      <c r="C155" s="5"/>
    </row>
    <row r="156" spans="1:30" s="68" customFormat="1" ht="5.0999999999999996" customHeight="1">
      <c r="A156" s="66"/>
      <c r="B156" s="67"/>
      <c r="Q156" s="69"/>
      <c r="R156" s="69"/>
      <c r="S156" s="69"/>
      <c r="T156" s="69"/>
      <c r="U156" s="69"/>
      <c r="V156" s="69"/>
      <c r="W156" s="70"/>
      <c r="X156" s="69"/>
      <c r="Y156" s="69"/>
      <c r="AC156" s="69"/>
      <c r="AD156" s="69"/>
    </row>
    <row r="157" spans="1:30">
      <c r="A157" s="2"/>
      <c r="B157" s="23"/>
      <c r="Q157" s="50"/>
      <c r="R157" s="50"/>
      <c r="S157" s="50"/>
      <c r="T157" s="50"/>
      <c r="U157" s="50"/>
      <c r="V157" s="50"/>
      <c r="W157" s="65"/>
    </row>
    <row r="158" spans="1:30">
      <c r="A158" s="2"/>
      <c r="B158" s="3" t="s">
        <v>377</v>
      </c>
      <c r="C158" s="23"/>
      <c r="D158" s="23"/>
    </row>
    <row r="159" spans="1:30">
      <c r="A159" s="2"/>
      <c r="B159" s="23"/>
      <c r="C159" s="23"/>
      <c r="D159" s="23"/>
    </row>
    <row r="160" spans="1:30">
      <c r="A160" s="2"/>
      <c r="B160" s="141" t="b">
        <f>UNOS!K17</f>
        <v>0</v>
      </c>
      <c r="C160" s="6" t="s">
        <v>227</v>
      </c>
    </row>
    <row r="161" spans="1:30">
      <c r="A161" s="2"/>
      <c r="B161" s="187">
        <f>IF(B160,VLOOKUP($C$29,$B$52:$J$59,6,FALSE),0)</f>
        <v>0</v>
      </c>
      <c r="C161" s="6" t="s">
        <v>185</v>
      </c>
    </row>
    <row r="162" spans="1:30">
      <c r="A162" s="2"/>
      <c r="B162" s="141">
        <f>IF(B160,VLOOKUP($C$29,$B$52:$J$59,7,FALSE),0)</f>
        <v>0</v>
      </c>
      <c r="C162" s="6" t="s">
        <v>190</v>
      </c>
    </row>
    <row r="163" spans="1:30">
      <c r="A163" s="2"/>
      <c r="B163" s="187">
        <f>IF(B160,VLOOKUP($C$29,$B$52:$J$59,8,FALSE),0)</f>
        <v>0</v>
      </c>
      <c r="C163" s="6" t="s">
        <v>191</v>
      </c>
    </row>
    <row r="164" spans="1:30" ht="15.6">
      <c r="A164" s="16" t="s">
        <v>145</v>
      </c>
      <c r="B164" s="184">
        <f>IF(B160,$B$137,0)</f>
        <v>0</v>
      </c>
      <c r="C164" s="5" t="s">
        <v>357</v>
      </c>
    </row>
    <row r="165" spans="1:30">
      <c r="A165" s="2"/>
      <c r="B165" s="187">
        <f>UNOS!C132</f>
        <v>0</v>
      </c>
      <c r="C165" s="6" t="s">
        <v>186</v>
      </c>
    </row>
    <row r="166" spans="1:30" ht="15.6">
      <c r="A166" s="16" t="s">
        <v>182</v>
      </c>
      <c r="B166" s="184">
        <f>IF(B160,$B$137/B161/B162/B163-$B$137/B165/B162/B163,0)</f>
        <v>0</v>
      </c>
      <c r="C166" s="5" t="s">
        <v>189</v>
      </c>
    </row>
    <row r="167" spans="1:30">
      <c r="A167" s="2"/>
      <c r="B167" s="188">
        <f>IF(B160,VLOOKUP(C29,$B$52:$P$59,14,FALSE),0)</f>
        <v>0</v>
      </c>
      <c r="C167" s="6" t="s">
        <v>231</v>
      </c>
    </row>
    <row r="168" spans="1:30">
      <c r="A168" s="2"/>
      <c r="B168" s="188">
        <f>O56</f>
        <v>1</v>
      </c>
      <c r="C168" s="6" t="s">
        <v>232</v>
      </c>
    </row>
    <row r="169" spans="1:30" ht="15.6">
      <c r="A169" s="16" t="s">
        <v>182</v>
      </c>
      <c r="B169" s="184">
        <f>IF(B160,$B$137/B161/B162/B163*B167-$B$137/B165/B162/B163*B168,0)</f>
        <v>0</v>
      </c>
      <c r="C169" s="5" t="s">
        <v>205</v>
      </c>
    </row>
    <row r="170" spans="1:30">
      <c r="A170" s="16"/>
      <c r="B170" s="187">
        <f>W56</f>
        <v>4.527617910447761</v>
      </c>
      <c r="C170" s="6" t="s">
        <v>238</v>
      </c>
    </row>
    <row r="171" spans="1:30">
      <c r="A171" s="16"/>
      <c r="B171" s="184">
        <f>IF(B160,$X$60-$Y$60-$B$137/B165/B162/B163*B170,0)</f>
        <v>0</v>
      </c>
      <c r="C171" s="5" t="s">
        <v>209</v>
      </c>
    </row>
    <row r="172" spans="1:30">
      <c r="A172" s="16"/>
      <c r="B172" s="184">
        <f>IF(B160,$AC$60-$AD$60-$B$137/B165/B162/B163*B168*AB56,0)</f>
        <v>0</v>
      </c>
      <c r="C172" s="5" t="s">
        <v>210</v>
      </c>
    </row>
    <row r="173" spans="1:30">
      <c r="A173" s="2"/>
      <c r="B173" s="23"/>
    </row>
    <row r="174" spans="1:30" s="68" customFormat="1" ht="5.0999999999999996" customHeight="1">
      <c r="A174" s="66"/>
      <c r="B174" s="67"/>
      <c r="Q174" s="69"/>
      <c r="R174" s="69"/>
      <c r="S174" s="69"/>
      <c r="T174" s="69"/>
      <c r="U174" s="69"/>
      <c r="V174" s="69"/>
      <c r="W174" s="70"/>
      <c r="X174" s="69"/>
      <c r="Y174" s="69"/>
      <c r="AC174" s="69"/>
      <c r="AD174" s="69"/>
    </row>
    <row r="175" spans="1:30">
      <c r="A175" s="2"/>
      <c r="B175" s="23"/>
      <c r="Q175" s="50"/>
      <c r="R175" s="50"/>
      <c r="S175" s="50"/>
      <c r="T175" s="50"/>
      <c r="U175" s="50"/>
      <c r="V175" s="50"/>
      <c r="W175" s="65"/>
    </row>
    <row r="176" spans="1:30">
      <c r="A176" s="2"/>
      <c r="B176" s="3" t="s">
        <v>378</v>
      </c>
      <c r="C176" s="23"/>
      <c r="D176" s="23"/>
    </row>
    <row r="177" spans="1:10">
      <c r="A177" s="2"/>
      <c r="B177" s="23"/>
      <c r="C177" s="23"/>
      <c r="D177" s="23"/>
    </row>
    <row r="178" spans="1:10">
      <c r="A178" s="2"/>
      <c r="B178" s="141" t="b">
        <f>UNOS!K18</f>
        <v>0</v>
      </c>
      <c r="C178" s="6" t="s">
        <v>227</v>
      </c>
    </row>
    <row r="179" spans="1:10">
      <c r="A179" s="2"/>
      <c r="B179" s="187">
        <f>IF(B178,VLOOKUP($C$29,$B$52:$J$59,6,FALSE),0)</f>
        <v>0</v>
      </c>
      <c r="C179" s="6" t="s">
        <v>185</v>
      </c>
    </row>
    <row r="180" spans="1:10">
      <c r="A180" s="2"/>
      <c r="B180" s="141">
        <f>IF(B178,VLOOKUP($C$29,$B$52:$J$59,7,FALSE),0)</f>
        <v>0</v>
      </c>
      <c r="C180" s="6" t="s">
        <v>190</v>
      </c>
    </row>
    <row r="181" spans="1:10">
      <c r="A181" s="2"/>
      <c r="B181" s="187">
        <f>IF(B178,VLOOKUP($C$29,$B$52:$J$59,8,FALSE),0)</f>
        <v>0</v>
      </c>
      <c r="C181" s="6" t="s">
        <v>191</v>
      </c>
    </row>
    <row r="182" spans="1:10" ht="15.6">
      <c r="A182" s="16" t="s">
        <v>145</v>
      </c>
      <c r="B182" s="184">
        <f>IF(B178,$B$137,0)</f>
        <v>0</v>
      </c>
      <c r="C182" s="5" t="s">
        <v>357</v>
      </c>
    </row>
    <row r="183" spans="1:10">
      <c r="A183" s="2"/>
      <c r="B183" s="187">
        <f>UNOS!C132</f>
        <v>0</v>
      </c>
      <c r="C183" s="6" t="s">
        <v>186</v>
      </c>
    </row>
    <row r="184" spans="1:10" ht="15.6">
      <c r="A184" s="16" t="s">
        <v>182</v>
      </c>
      <c r="B184" s="184">
        <f>IF(B178,$B$137/B179/B180/B181-$B$137/B183/B180/B181,0)</f>
        <v>0</v>
      </c>
      <c r="C184" s="5" t="s">
        <v>189</v>
      </c>
    </row>
    <row r="185" spans="1:10">
      <c r="A185" s="2"/>
      <c r="B185" s="188">
        <f>IF(B178,VLOOKUP(C29,$B$52:$P$59,14,FALSE),0)</f>
        <v>0</v>
      </c>
      <c r="C185" s="6" t="s">
        <v>196</v>
      </c>
    </row>
    <row r="186" spans="1:10">
      <c r="A186" s="2"/>
      <c r="B186" s="188">
        <f>O57</f>
        <v>1</v>
      </c>
      <c r="C186" s="6" t="s">
        <v>232</v>
      </c>
    </row>
    <row r="187" spans="1:10" ht="15.6">
      <c r="A187" s="16" t="s">
        <v>182</v>
      </c>
      <c r="B187" s="184">
        <f>IF(B178,$B$137/B179/B180/B181*B185-$B$137/B183/B180/B181*B186,0)</f>
        <v>0</v>
      </c>
      <c r="C187" s="5" t="s">
        <v>205</v>
      </c>
      <c r="J187" s="217"/>
    </row>
    <row r="188" spans="1:10">
      <c r="A188" s="16"/>
      <c r="B188" s="187">
        <f>W57</f>
        <v>6.6000000000000005</v>
      </c>
      <c r="C188" s="6" t="s">
        <v>238</v>
      </c>
    </row>
    <row r="189" spans="1:10">
      <c r="A189" s="16"/>
      <c r="B189" s="184">
        <f>IF(B178,$X$60-$Y$60-$B$137/B183/B180/B181*B188,0)</f>
        <v>0</v>
      </c>
      <c r="C189" s="5" t="s">
        <v>209</v>
      </c>
    </row>
    <row r="190" spans="1:10">
      <c r="A190" s="16"/>
      <c r="B190" s="184">
        <f>IF(B178,$AC$60-$AD$60-$B$137/B183/B180/B181*B186*AB57,0)</f>
        <v>0</v>
      </c>
      <c r="C190" s="5" t="s">
        <v>210</v>
      </c>
    </row>
    <row r="191" spans="1:10" ht="15.6">
      <c r="A191" s="16" t="s">
        <v>182</v>
      </c>
      <c r="B191" s="184">
        <f>IF(B178,IF(OR(C29=B52,C29=B57),0,B187),0)</f>
        <v>0</v>
      </c>
      <c r="C191" s="5" t="s">
        <v>392</v>
      </c>
    </row>
    <row r="192" spans="1:10">
      <c r="A192" s="2"/>
      <c r="B192" s="32"/>
      <c r="C192" s="33"/>
    </row>
    <row r="193" spans="1:30" s="68" customFormat="1" ht="5.0999999999999996" customHeight="1">
      <c r="A193" s="66"/>
      <c r="B193" s="67"/>
      <c r="Q193" s="69"/>
      <c r="R193" s="69"/>
      <c r="S193" s="69"/>
      <c r="T193" s="69"/>
      <c r="U193" s="69"/>
      <c r="V193" s="69"/>
      <c r="W193" s="70"/>
      <c r="X193" s="69"/>
      <c r="Y193" s="69"/>
      <c r="AC193" s="69"/>
      <c r="AD193" s="69"/>
    </row>
    <row r="194" spans="1:30">
      <c r="A194" s="2"/>
      <c r="B194" s="23"/>
      <c r="Q194" s="50"/>
      <c r="R194" s="50"/>
      <c r="S194" s="50"/>
      <c r="T194" s="50"/>
      <c r="U194" s="50"/>
      <c r="V194" s="50"/>
      <c r="W194" s="65"/>
    </row>
    <row r="195" spans="1:30">
      <c r="A195" s="2"/>
      <c r="B195" s="3" t="s">
        <v>379</v>
      </c>
      <c r="C195" s="23"/>
      <c r="D195" s="23"/>
    </row>
    <row r="196" spans="1:30">
      <c r="A196" s="2"/>
      <c r="B196" s="23"/>
      <c r="C196" s="23"/>
      <c r="D196" s="23"/>
      <c r="H196" s="8"/>
    </row>
    <row r="197" spans="1:30">
      <c r="A197" s="2"/>
      <c r="B197" s="141" t="b">
        <f>UNOS!K19</f>
        <v>0</v>
      </c>
      <c r="C197" s="6" t="s">
        <v>226</v>
      </c>
      <c r="H197" s="8"/>
    </row>
    <row r="198" spans="1:30">
      <c r="A198" s="2"/>
      <c r="B198" s="187">
        <f>IF(B197,VLOOKUP($C$29,$B$52:$J$59,6,FALSE),0)</f>
        <v>0</v>
      </c>
      <c r="C198" s="6" t="s">
        <v>185</v>
      </c>
      <c r="H198" s="8"/>
      <c r="I198" s="8"/>
      <c r="J198" s="8"/>
      <c r="K198" s="8"/>
    </row>
    <row r="199" spans="1:30">
      <c r="A199" s="2"/>
      <c r="B199" s="187">
        <f>IF(B197,VLOOKUP($C$29,$B$52:$J$59,7,FALSE),0)</f>
        <v>0</v>
      </c>
      <c r="C199" s="6" t="s">
        <v>190</v>
      </c>
    </row>
    <row r="200" spans="1:30">
      <c r="A200" s="2"/>
      <c r="B200" s="187">
        <f>IF(B197,VLOOKUP($C$29,$B$52:$J$59,8,FALSE),0)</f>
        <v>0</v>
      </c>
      <c r="C200" s="6" t="s">
        <v>191</v>
      </c>
    </row>
    <row r="201" spans="1:30" ht="15.6">
      <c r="A201" s="16" t="s">
        <v>145</v>
      </c>
      <c r="B201" s="184">
        <f>IF(B197,$B$137,0)</f>
        <v>0</v>
      </c>
      <c r="C201" s="5" t="s">
        <v>357</v>
      </c>
    </row>
    <row r="202" spans="1:30">
      <c r="A202" s="2"/>
      <c r="B202" s="187">
        <f>UNOS!C133</f>
        <v>0</v>
      </c>
      <c r="C202" s="6" t="s">
        <v>237</v>
      </c>
    </row>
    <row r="203" spans="1:30" ht="15.6">
      <c r="A203" s="16" t="s">
        <v>182</v>
      </c>
      <c r="B203" s="184">
        <f>IF(B197,$B$137/B198/B199/B200-$B$137/B202/B199/B200,0)</f>
        <v>0</v>
      </c>
      <c r="C203" s="5" t="s">
        <v>502</v>
      </c>
    </row>
    <row r="204" spans="1:30">
      <c r="A204" s="2"/>
      <c r="B204" s="188">
        <f>IF(B197,VLOOKUP(C29,$B$52:$P$59,14,FALSE),0)</f>
        <v>0</v>
      </c>
      <c r="C204" s="6" t="s">
        <v>507</v>
      </c>
    </row>
    <row r="205" spans="1:30">
      <c r="A205" s="2"/>
      <c r="B205" s="188">
        <f>O58</f>
        <v>3.0150000000000001</v>
      </c>
      <c r="C205" s="6" t="s">
        <v>508</v>
      </c>
    </row>
    <row r="206" spans="1:30" ht="15.6">
      <c r="A206" s="16" t="s">
        <v>182</v>
      </c>
      <c r="B206" s="184">
        <f>IF(B197,$B$137/B198/B199/B200*B204-$B$137/B202/B199/B200*B205,0)</f>
        <v>0</v>
      </c>
      <c r="C206" s="5" t="s">
        <v>205</v>
      </c>
    </row>
    <row r="207" spans="1:30">
      <c r="A207" s="16"/>
      <c r="B207" s="187">
        <f>W58</f>
        <v>5</v>
      </c>
      <c r="C207" s="6" t="s">
        <v>238</v>
      </c>
    </row>
    <row r="208" spans="1:30">
      <c r="A208" s="16"/>
      <c r="B208" s="184">
        <f>IF(B197,$X$60-$Y$60-$B$137/B202/B199/B200*B207,0)</f>
        <v>0</v>
      </c>
      <c r="C208" s="5" t="s">
        <v>209</v>
      </c>
    </row>
    <row r="209" spans="1:30">
      <c r="A209" s="16"/>
      <c r="B209" s="184">
        <f>IF(B197,$AC$60-$AD$60-$B$137/B202/B199/B200*B205*AB58,0)</f>
        <v>0</v>
      </c>
      <c r="C209" s="5" t="s">
        <v>210</v>
      </c>
    </row>
    <row r="210" spans="1:30">
      <c r="A210" s="2"/>
      <c r="B210" s="23"/>
    </row>
    <row r="211" spans="1:30" s="68" customFormat="1" ht="5.0999999999999996" customHeight="1">
      <c r="A211" s="66"/>
      <c r="B211" s="67"/>
      <c r="Q211" s="69"/>
      <c r="R211" s="69"/>
      <c r="S211" s="69"/>
      <c r="T211" s="69"/>
      <c r="U211" s="69"/>
      <c r="V211" s="69"/>
      <c r="W211" s="70"/>
      <c r="X211" s="69"/>
      <c r="Y211" s="69"/>
      <c r="AC211" s="69"/>
      <c r="AD211" s="69"/>
    </row>
    <row r="212" spans="1:30">
      <c r="A212" s="2"/>
      <c r="B212" s="23"/>
      <c r="Q212" s="50"/>
      <c r="R212" s="50"/>
      <c r="S212" s="50"/>
      <c r="T212" s="50"/>
      <c r="U212" s="50"/>
      <c r="V212" s="50"/>
      <c r="W212" s="65"/>
    </row>
    <row r="213" spans="1:30">
      <c r="A213" s="2"/>
      <c r="B213" s="3" t="s">
        <v>375</v>
      </c>
      <c r="C213" s="23"/>
    </row>
    <row r="214" spans="1:30">
      <c r="A214" s="2"/>
      <c r="B214" s="23"/>
      <c r="C214" s="23"/>
      <c r="D214" s="218"/>
      <c r="I214" s="7"/>
      <c r="K214" s="7"/>
    </row>
    <row r="215" spans="1:30">
      <c r="A215" s="2"/>
      <c r="B215" s="141" t="b">
        <f>UNOS!K20</f>
        <v>0</v>
      </c>
      <c r="C215" s="6" t="s">
        <v>374</v>
      </c>
      <c r="E215" s="7"/>
      <c r="K215" s="4"/>
      <c r="L215" s="4"/>
      <c r="M215" s="4"/>
    </row>
    <row r="216" spans="1:30">
      <c r="A216" s="2"/>
      <c r="B216" s="187">
        <f>IF(B215,VLOOKUP($C$29,$B$52:$J$59,6,FALSE),0)</f>
        <v>0</v>
      </c>
      <c r="C216" s="6" t="s">
        <v>185</v>
      </c>
      <c r="H216" s="8"/>
      <c r="I216" s="8"/>
      <c r="J216" s="8"/>
    </row>
    <row r="217" spans="1:30">
      <c r="A217" s="2"/>
      <c r="B217" s="141">
        <f>IF(B215,VLOOKUP($C$29,$B$52:$J$59,7,FALSE),0)</f>
        <v>0</v>
      </c>
      <c r="C217" s="6" t="s">
        <v>190</v>
      </c>
    </row>
    <row r="218" spans="1:30">
      <c r="A218" s="2"/>
      <c r="B218" s="187">
        <f>IF(B215,VLOOKUP($C$29,$B$52:$J$59,8,FALSE),0)</f>
        <v>0</v>
      </c>
      <c r="C218" s="6" t="s">
        <v>191</v>
      </c>
    </row>
    <row r="219" spans="1:30" ht="15.6">
      <c r="A219" s="16" t="s">
        <v>145</v>
      </c>
      <c r="B219" s="184">
        <f>IF(B215,$B$137,0)</f>
        <v>0</v>
      </c>
      <c r="C219" s="5" t="s">
        <v>357</v>
      </c>
    </row>
    <row r="220" spans="1:30">
      <c r="A220" s="2"/>
      <c r="B220" s="187">
        <f>IF(B160,B165,IF(B178,B183,IF(B197,B202,0)))</f>
        <v>0</v>
      </c>
      <c r="C220" s="6" t="s">
        <v>381</v>
      </c>
    </row>
    <row r="221" spans="1:30">
      <c r="A221" s="2"/>
      <c r="B221" s="141">
        <f>IF(B215,0.98,B217)</f>
        <v>0</v>
      </c>
      <c r="C221" s="6" t="s">
        <v>192</v>
      </c>
    </row>
    <row r="222" spans="1:30">
      <c r="A222" s="2"/>
      <c r="B222" s="141">
        <f>IF(B215,M58,B218)</f>
        <v>0</v>
      </c>
      <c r="C222" s="6" t="s">
        <v>193</v>
      </c>
    </row>
    <row r="223" spans="1:30" ht="15.6">
      <c r="A223" s="16" t="s">
        <v>182</v>
      </c>
      <c r="B223" s="184">
        <f>IF(B215,$B$137/B220/B217/B218-$B$137/B220/B221/B222,0)</f>
        <v>0</v>
      </c>
      <c r="C223" s="5" t="s">
        <v>380</v>
      </c>
    </row>
    <row r="224" spans="1:30">
      <c r="A224" s="2"/>
      <c r="B224" s="188">
        <f>IF(B215,VLOOKUP(C29,$B$52:$P$59,14,FALSE),0)</f>
        <v>0</v>
      </c>
      <c r="C224" s="6" t="s">
        <v>196</v>
      </c>
    </row>
    <row r="225" spans="1:30">
      <c r="A225" s="2"/>
      <c r="B225" s="188">
        <f>IF(UNOS!K17,O56,IF(UNOS!K18,O57,IF(UNOS!K19,O58,0)))</f>
        <v>0</v>
      </c>
      <c r="C225" s="6" t="s">
        <v>232</v>
      </c>
    </row>
    <row r="226" spans="1:30" ht="15.6">
      <c r="A226" s="16" t="s">
        <v>182</v>
      </c>
      <c r="B226" s="184">
        <f>IF(B215,$B$137/B220/B217/B218*B225-$B$137/B220/B221/B222*B225,0)</f>
        <v>0</v>
      </c>
      <c r="C226" s="5" t="s">
        <v>205</v>
      </c>
    </row>
    <row r="227" spans="1:30">
      <c r="A227" s="16"/>
      <c r="B227" s="187">
        <f>IF(UNOS!K17,W56,IF(UNOS!K18,W57,IF(UNOS!K19,W58,0)))</f>
        <v>0</v>
      </c>
      <c r="C227" s="6" t="s">
        <v>238</v>
      </c>
    </row>
    <row r="228" spans="1:30">
      <c r="A228" s="16"/>
      <c r="B228" s="184">
        <f>IF(B215,X60-Y60-IF(B160,B171,IF(B178,B189,IF(B197,B208,0)))-$B$137/B220/B221/B222*B227,0)</f>
        <v>0</v>
      </c>
      <c r="C228" s="5" t="s">
        <v>209</v>
      </c>
    </row>
    <row r="229" spans="1:30">
      <c r="A229" s="16"/>
      <c r="B229" s="184">
        <f>IF(B235,IF(B217,$AC$60-$AD$60-IF(B160,B172,IF(B178,B190,IF(B197,B209,0)))-$B$137/B222/B220/B221*B225*IF(B160,AB56,IF(B178,AB57,IF(B197,AB58,0))),0),0)</f>
        <v>0</v>
      </c>
      <c r="C229" s="5" t="s">
        <v>210</v>
      </c>
    </row>
    <row r="230" spans="1:30">
      <c r="A230" s="2"/>
      <c r="B230" s="32"/>
      <c r="C230" s="33"/>
    </row>
    <row r="231" spans="1:30" s="68" customFormat="1" ht="5.0999999999999996" customHeight="1">
      <c r="A231" s="66"/>
      <c r="B231" s="67"/>
      <c r="Q231" s="69"/>
      <c r="R231" s="69"/>
      <c r="S231" s="69"/>
      <c r="T231" s="69"/>
      <c r="U231" s="69"/>
      <c r="V231" s="69"/>
      <c r="W231" s="70"/>
      <c r="X231" s="69"/>
      <c r="Y231" s="69"/>
      <c r="AC231" s="69"/>
      <c r="AD231" s="69"/>
    </row>
    <row r="232" spans="1:30">
      <c r="A232" s="2"/>
      <c r="B232" s="23"/>
      <c r="Q232" s="50"/>
      <c r="R232" s="50"/>
      <c r="S232" s="50"/>
      <c r="T232" s="50"/>
      <c r="U232" s="50"/>
      <c r="V232" s="50"/>
      <c r="W232" s="65"/>
    </row>
    <row r="233" spans="1:30">
      <c r="A233" s="51" t="s">
        <v>376</v>
      </c>
      <c r="B233" s="3"/>
      <c r="C233" s="23"/>
      <c r="D233" s="23"/>
    </row>
    <row r="234" spans="1:30">
      <c r="A234" s="2"/>
      <c r="B234" s="23"/>
      <c r="C234" s="23"/>
      <c r="D234" s="23"/>
    </row>
    <row r="235" spans="1:30">
      <c r="A235" s="2"/>
      <c r="B235" s="183" t="b">
        <f>IF(OR(B160,B178,B197),TRUE,FALSE)</f>
        <v>0</v>
      </c>
      <c r="C235" s="3" t="s">
        <v>525</v>
      </c>
    </row>
    <row r="236" spans="1:30" ht="15.6">
      <c r="A236" s="16" t="s">
        <v>145</v>
      </c>
      <c r="B236" s="184">
        <f>IF(B235,B141,0)</f>
        <v>0</v>
      </c>
      <c r="C236" s="5" t="s">
        <v>382</v>
      </c>
    </row>
    <row r="237" spans="1:30" ht="15.6">
      <c r="A237" s="16" t="s">
        <v>182</v>
      </c>
      <c r="B237" s="184">
        <f>B166+B184+B203+B223</f>
        <v>0</v>
      </c>
      <c r="C237" s="5" t="s">
        <v>188</v>
      </c>
    </row>
    <row r="238" spans="1:30" ht="15.6">
      <c r="A238" s="16" t="s">
        <v>145</v>
      </c>
      <c r="B238" s="185">
        <f>IF((B236-B237)&lt;0,"ПРОВЕРИТИ УНОС",B236-B237)</f>
        <v>0</v>
      </c>
      <c r="C238" s="5" t="s">
        <v>383</v>
      </c>
    </row>
    <row r="239" spans="1:30">
      <c r="A239" s="16"/>
      <c r="B239" s="186">
        <f>IF(B235,B237/B236,0)</f>
        <v>0</v>
      </c>
      <c r="C239" s="5" t="s">
        <v>505</v>
      </c>
    </row>
    <row r="240" spans="1:30" ht="15.6">
      <c r="A240" s="16" t="s">
        <v>197</v>
      </c>
      <c r="B240" s="184">
        <f>IF(B235,B145,0)</f>
        <v>0</v>
      </c>
      <c r="C240" s="5" t="s">
        <v>384</v>
      </c>
    </row>
    <row r="241" spans="1:30" ht="15.6">
      <c r="A241" s="16" t="s">
        <v>182</v>
      </c>
      <c r="B241" s="184">
        <f>B169+B187+B206+B226</f>
        <v>0</v>
      </c>
      <c r="C241" s="5" t="s">
        <v>205</v>
      </c>
    </row>
    <row r="242" spans="1:30" ht="15.6">
      <c r="A242" s="16" t="s">
        <v>197</v>
      </c>
      <c r="B242" s="184">
        <f>IF(B235,B240-B241,0)</f>
        <v>0</v>
      </c>
      <c r="C242" s="5" t="s">
        <v>385</v>
      </c>
    </row>
    <row r="243" spans="1:30">
      <c r="A243" s="16"/>
      <c r="B243" s="184">
        <f>IF(B235,X60-Y60,0)</f>
        <v>0</v>
      </c>
      <c r="C243" s="5" t="s">
        <v>506</v>
      </c>
    </row>
    <row r="244" spans="1:30">
      <c r="A244" s="16"/>
      <c r="B244" s="184">
        <f>B171+B189+B208+B228</f>
        <v>0</v>
      </c>
      <c r="C244" s="5" t="s">
        <v>209</v>
      </c>
    </row>
    <row r="245" spans="1:30">
      <c r="A245" s="16"/>
      <c r="B245" s="184">
        <f>IF(B235,B243-B244,0)</f>
        <v>0</v>
      </c>
      <c r="C245" s="5" t="s">
        <v>386</v>
      </c>
    </row>
    <row r="246" spans="1:30">
      <c r="A246" s="16"/>
      <c r="B246" s="184">
        <f>IF(B235,AC60-AD60,0)</f>
        <v>0</v>
      </c>
      <c r="C246" s="5" t="s">
        <v>235</v>
      </c>
    </row>
    <row r="247" spans="1:30">
      <c r="A247" s="16"/>
      <c r="B247" s="184">
        <f>IF(B235,B172+B190+B209+B229,0)</f>
        <v>0</v>
      </c>
      <c r="C247" s="5" t="s">
        <v>210</v>
      </c>
    </row>
    <row r="248" spans="1:30">
      <c r="A248" s="16"/>
      <c r="B248" s="184">
        <f>IF(B235,B246-B247,0)</f>
        <v>0</v>
      </c>
      <c r="C248" s="5" t="s">
        <v>236</v>
      </c>
    </row>
    <row r="249" spans="1:30">
      <c r="A249" s="2"/>
      <c r="B249" s="184" t="str">
        <f>IF(B160,"Котао на гас",IF(B178,"Котао на биомасу",IF(B197,"Топлотна пумпа","")))</f>
        <v/>
      </c>
      <c r="C249" s="5" t="s">
        <v>534</v>
      </c>
    </row>
    <row r="250" spans="1:30" s="68" customFormat="1" ht="5.0999999999999996" customHeight="1">
      <c r="A250" s="66"/>
      <c r="B250" s="67"/>
      <c r="Q250" s="69"/>
      <c r="R250" s="69"/>
      <c r="S250" s="69"/>
      <c r="T250" s="69"/>
      <c r="U250" s="69"/>
      <c r="V250" s="69"/>
      <c r="W250" s="70"/>
      <c r="X250" s="69"/>
      <c r="Y250" s="69"/>
      <c r="AC250" s="69"/>
      <c r="AD250" s="69"/>
    </row>
    <row r="251" spans="1:30">
      <c r="A251" s="2"/>
      <c r="B251" s="23"/>
      <c r="Q251" s="50"/>
      <c r="R251" s="50"/>
      <c r="S251" s="50"/>
      <c r="T251" s="50"/>
      <c r="U251" s="50"/>
      <c r="V251" s="50"/>
      <c r="W251" s="65"/>
    </row>
    <row r="252" spans="1:30">
      <c r="A252" s="2"/>
      <c r="B252" s="3" t="s">
        <v>212</v>
      </c>
      <c r="C252" s="23"/>
      <c r="Q252" s="50"/>
      <c r="R252" s="50"/>
      <c r="S252" s="50"/>
      <c r="T252" s="50"/>
      <c r="U252" s="50"/>
      <c r="V252" s="50"/>
      <c r="W252" s="65"/>
    </row>
    <row r="253" spans="1:30">
      <c r="A253" s="2"/>
      <c r="B253" s="3"/>
      <c r="C253" s="23"/>
      <c r="Q253" s="50"/>
      <c r="R253" s="50"/>
      <c r="S253" s="50"/>
      <c r="T253" s="50"/>
      <c r="U253" s="50"/>
      <c r="V253" s="50"/>
      <c r="W253" s="65"/>
    </row>
    <row r="254" spans="1:30">
      <c r="A254" s="2"/>
      <c r="B254" s="141" t="str">
        <f>IF(UNOS!K21=TRUE,"ДА","НЕ")</f>
        <v>НЕ</v>
      </c>
      <c r="C254" s="6" t="s">
        <v>223</v>
      </c>
      <c r="D254" s="23"/>
    </row>
    <row r="255" spans="1:30">
      <c r="A255" s="2"/>
      <c r="B255" s="141" t="str" cm="1">
        <f t="array" ref="B255">IF(SUM(UNOS!L162:L169)=1,INDEX(UNOS!C163:C169,_xlfn.XMATCH(1,UNOS!L163:L169,0),1),"ПРОВЕРИТИ УНОС")</f>
        <v>ПРОВЕРИТИ УНОС</v>
      </c>
      <c r="C255" s="6" t="s">
        <v>216</v>
      </c>
      <c r="J255" s="2"/>
    </row>
    <row r="256" spans="1:30">
      <c r="A256" s="2"/>
      <c r="B256" s="207">
        <f>UNOS!D28</f>
        <v>0</v>
      </c>
      <c r="C256" s="6" t="s">
        <v>213</v>
      </c>
    </row>
    <row r="257" spans="1:30">
      <c r="A257" s="2"/>
      <c r="B257" s="76">
        <f>[1]USVOJENE_VREDNOSTI!B136</f>
        <v>30</v>
      </c>
      <c r="C257" s="6" t="s">
        <v>218</v>
      </c>
    </row>
    <row r="258" spans="1:30" ht="15" thickBot="1">
      <c r="A258" s="2"/>
      <c r="B258" s="76">
        <f>[1]USVOJENE_VREDNOSTI!B137</f>
        <v>35</v>
      </c>
      <c r="C258" s="6" t="s">
        <v>219</v>
      </c>
      <c r="D258" s="23"/>
    </row>
    <row r="259" spans="1:30" ht="15" thickBot="1">
      <c r="A259" s="16"/>
      <c r="B259" s="76">
        <f>[1]USVOJENE_VREDNOSTI!B138</f>
        <v>10</v>
      </c>
      <c r="C259" s="6" t="s">
        <v>220</v>
      </c>
      <c r="D259" s="23"/>
      <c r="J259" s="77"/>
      <c r="K259" s="78" t="s">
        <v>476</v>
      </c>
      <c r="L259" s="79" t="s">
        <v>478</v>
      </c>
      <c r="M259" s="79" t="s">
        <v>479</v>
      </c>
      <c r="N259" s="79" t="s">
        <v>480</v>
      </c>
      <c r="O259" s="79" t="s">
        <v>481</v>
      </c>
      <c r="P259" s="79" t="s">
        <v>482</v>
      </c>
      <c r="Q259" s="79" t="s">
        <v>483</v>
      </c>
      <c r="R259" s="79" t="s">
        <v>484</v>
      </c>
      <c r="S259" s="79" t="s">
        <v>485</v>
      </c>
      <c r="T259" s="79" t="s">
        <v>486</v>
      </c>
      <c r="U259" s="79" t="s">
        <v>487</v>
      </c>
      <c r="V259" s="80" t="s">
        <v>488</v>
      </c>
      <c r="Z259" t="s">
        <v>494</v>
      </c>
    </row>
    <row r="260" spans="1:30" ht="16.8" thickBot="1">
      <c r="A260" s="16"/>
      <c r="B260" s="207">
        <f>UNOS!C177</f>
        <v>0</v>
      </c>
      <c r="C260" t="s">
        <v>221</v>
      </c>
      <c r="D260" s="23"/>
      <c r="J260" s="235" t="s">
        <v>470</v>
      </c>
      <c r="K260" s="81">
        <v>31</v>
      </c>
      <c r="L260" s="82">
        <v>28</v>
      </c>
      <c r="M260" s="82">
        <v>31</v>
      </c>
      <c r="N260" s="82">
        <v>30</v>
      </c>
      <c r="O260" s="82">
        <v>31</v>
      </c>
      <c r="P260" s="82">
        <v>30</v>
      </c>
      <c r="Q260" s="82">
        <v>31</v>
      </c>
      <c r="R260" s="82">
        <v>31</v>
      </c>
      <c r="S260" s="82">
        <v>30</v>
      </c>
      <c r="T260" s="82">
        <v>31</v>
      </c>
      <c r="U260" s="82">
        <v>30</v>
      </c>
      <c r="V260" s="83">
        <v>31</v>
      </c>
      <c r="Z260" s="201" t="s">
        <v>264</v>
      </c>
      <c r="AA260" s="202" t="s">
        <v>265</v>
      </c>
      <c r="AB260" s="202" t="s">
        <v>266</v>
      </c>
      <c r="AC260" s="203" t="s">
        <v>267</v>
      </c>
      <c r="AD260" s="317" t="s">
        <v>562</v>
      </c>
    </row>
    <row r="261" spans="1:30">
      <c r="A261" s="16"/>
      <c r="B261" s="248">
        <f>UNOS!C178</f>
        <v>0</v>
      </c>
      <c r="C261" t="s">
        <v>492</v>
      </c>
      <c r="D261" s="23"/>
      <c r="J261" s="189" t="s">
        <v>217</v>
      </c>
      <c r="K261" s="190">
        <f>K271</f>
        <v>39.247500000000002</v>
      </c>
      <c r="L261" s="190">
        <f t="shared" ref="L261:V261" si="14">L271</f>
        <v>53.765000000000001</v>
      </c>
      <c r="M261" s="190">
        <f t="shared" si="14"/>
        <v>79.032500000000013</v>
      </c>
      <c r="N261" s="190">
        <f t="shared" si="14"/>
        <v>90.267499999999998</v>
      </c>
      <c r="O261" s="190">
        <f t="shared" si="14"/>
        <v>106.325</v>
      </c>
      <c r="P261" s="190">
        <f t="shared" si="14"/>
        <v>109.07999999999998</v>
      </c>
      <c r="Q261" s="190">
        <f t="shared" si="14"/>
        <v>116.6575</v>
      </c>
      <c r="R261" s="190">
        <f t="shared" si="14"/>
        <v>109.265</v>
      </c>
      <c r="S261" s="190">
        <f t="shared" si="14"/>
        <v>91.264999999999986</v>
      </c>
      <c r="T261" s="190">
        <f t="shared" si="14"/>
        <v>73.632500000000007</v>
      </c>
      <c r="U261" s="190">
        <f t="shared" si="14"/>
        <v>41.155000000000001</v>
      </c>
      <c r="V261" s="190">
        <f t="shared" si="14"/>
        <v>31.627499999999998</v>
      </c>
      <c r="Y261">
        <v>1</v>
      </c>
      <c r="Z261" s="204">
        <f>[1]USVOJENE_VREDNOSTI!C143</f>
        <v>42.75</v>
      </c>
      <c r="AA261" s="87">
        <f>[1]USVOJENE_VREDNOSTI!D143</f>
        <v>64.25</v>
      </c>
      <c r="AB261" s="87">
        <f>[1]USVOJENE_VREDNOSTI!E143</f>
        <v>32.57</v>
      </c>
      <c r="AC261" s="205">
        <f>[1]USVOJENE_VREDNOSTI!F143</f>
        <v>17.420000000000002</v>
      </c>
      <c r="AD261" s="318">
        <f>AVERAGE(Z261:AC261)</f>
        <v>39.247500000000002</v>
      </c>
    </row>
    <row r="262" spans="1:30" ht="16.2">
      <c r="A262" s="16"/>
      <c r="B262" s="76">
        <f>[1]USVOJENE_VREDNOSTI!$B$139</f>
        <v>750</v>
      </c>
      <c r="C262" s="6" t="s">
        <v>495</v>
      </c>
      <c r="D262" s="23"/>
      <c r="J262" s="189" t="s">
        <v>471</v>
      </c>
      <c r="K262" s="190">
        <f t="shared" ref="K262:V262" si="15">$B$256*$B$257*985*4.2*($B$258-$B$259)*K260/1000/3600</f>
        <v>0</v>
      </c>
      <c r="L262" s="174">
        <f t="shared" si="15"/>
        <v>0</v>
      </c>
      <c r="M262" s="174">
        <f t="shared" si="15"/>
        <v>0</v>
      </c>
      <c r="N262" s="174">
        <f t="shared" si="15"/>
        <v>0</v>
      </c>
      <c r="O262" s="174">
        <f t="shared" si="15"/>
        <v>0</v>
      </c>
      <c r="P262" s="174">
        <f t="shared" si="15"/>
        <v>0</v>
      </c>
      <c r="Q262" s="174">
        <f t="shared" si="15"/>
        <v>0</v>
      </c>
      <c r="R262" s="174">
        <f t="shared" si="15"/>
        <v>0</v>
      </c>
      <c r="S262" s="174">
        <f t="shared" si="15"/>
        <v>0</v>
      </c>
      <c r="T262" s="174">
        <f t="shared" si="15"/>
        <v>0</v>
      </c>
      <c r="U262" s="174">
        <f t="shared" si="15"/>
        <v>0</v>
      </c>
      <c r="V262" s="172">
        <f t="shared" si="15"/>
        <v>0</v>
      </c>
      <c r="Y262">
        <v>2</v>
      </c>
      <c r="Z262" s="206">
        <f>[1]USVOJENE_VREDNOSTI!C144</f>
        <v>60.35</v>
      </c>
      <c r="AA262" s="90">
        <f>[1]USVOJENE_VREDNOSTI!D144</f>
        <v>76.98</v>
      </c>
      <c r="AB262" s="90">
        <f>[1]USVOJENE_VREDNOSTI!E144</f>
        <v>55.35</v>
      </c>
      <c r="AC262" s="91">
        <f>[1]USVOJENE_VREDNOSTI!F144</f>
        <v>22.38</v>
      </c>
      <c r="AD262" s="319">
        <f t="shared" ref="AD262:AD272" si="16">AVERAGE(Z262:AC262)</f>
        <v>53.765000000000001</v>
      </c>
    </row>
    <row r="263" spans="1:30" ht="15" thickBot="1">
      <c r="A263" s="16"/>
      <c r="B263" s="188">
        <f>B260*B261*B262/1000</f>
        <v>0</v>
      </c>
      <c r="C263" s="6" t="s">
        <v>496</v>
      </c>
      <c r="D263" s="23"/>
      <c r="J263" s="191" t="s">
        <v>472</v>
      </c>
      <c r="K263" s="192">
        <f t="shared" ref="K263:V263" si="17">K261*$B$260*$B$261</f>
        <v>0</v>
      </c>
      <c r="L263" s="192">
        <f t="shared" si="17"/>
        <v>0</v>
      </c>
      <c r="M263" s="192">
        <f t="shared" si="17"/>
        <v>0</v>
      </c>
      <c r="N263" s="192">
        <f t="shared" si="17"/>
        <v>0</v>
      </c>
      <c r="O263" s="192">
        <f t="shared" si="17"/>
        <v>0</v>
      </c>
      <c r="P263" s="192">
        <f t="shared" si="17"/>
        <v>0</v>
      </c>
      <c r="Q263" s="192">
        <f t="shared" si="17"/>
        <v>0</v>
      </c>
      <c r="R263" s="192">
        <f t="shared" si="17"/>
        <v>0</v>
      </c>
      <c r="S263" s="192">
        <f t="shared" si="17"/>
        <v>0</v>
      </c>
      <c r="T263" s="192">
        <f t="shared" si="17"/>
        <v>0</v>
      </c>
      <c r="U263" s="192">
        <f t="shared" si="17"/>
        <v>0</v>
      </c>
      <c r="V263" s="192">
        <f t="shared" si="17"/>
        <v>0</v>
      </c>
      <c r="Y263">
        <v>3</v>
      </c>
      <c r="Z263" s="206">
        <f>[1]USVOJENE_VREDNOSTI!C145</f>
        <v>103.86</v>
      </c>
      <c r="AA263" s="90">
        <f>[1]USVOJENE_VREDNOSTI!D145</f>
        <v>96.43</v>
      </c>
      <c r="AB263" s="90">
        <f>[1]USVOJENE_VREDNOSTI!E145</f>
        <v>79.8</v>
      </c>
      <c r="AC263" s="91">
        <f>[1]USVOJENE_VREDNOSTI!F145</f>
        <v>36.04</v>
      </c>
      <c r="AD263" s="319">
        <f t="shared" si="16"/>
        <v>79.032500000000013</v>
      </c>
    </row>
    <row r="264" spans="1:30" ht="16.2" thickBot="1">
      <c r="A264" s="16" t="s">
        <v>145</v>
      </c>
      <c r="B264" s="184">
        <f>IF(UNOS!K21,SUM(K262:V262),0)</f>
        <v>0</v>
      </c>
      <c r="C264" s="5" t="s">
        <v>358</v>
      </c>
      <c r="D264" s="23"/>
      <c r="J264" s="193" t="s">
        <v>473</v>
      </c>
      <c r="K264" s="194">
        <f t="shared" ref="K264:V264" si="18">IF(K262&gt;K263,K263,K262)</f>
        <v>0</v>
      </c>
      <c r="L264" s="195">
        <f t="shared" si="18"/>
        <v>0</v>
      </c>
      <c r="M264" s="195">
        <f t="shared" si="18"/>
        <v>0</v>
      </c>
      <c r="N264" s="195">
        <f t="shared" si="18"/>
        <v>0</v>
      </c>
      <c r="O264" s="195">
        <f t="shared" si="18"/>
        <v>0</v>
      </c>
      <c r="P264" s="195">
        <f t="shared" si="18"/>
        <v>0</v>
      </c>
      <c r="Q264" s="195">
        <f t="shared" si="18"/>
        <v>0</v>
      </c>
      <c r="R264" s="195">
        <f t="shared" si="18"/>
        <v>0</v>
      </c>
      <c r="S264" s="195">
        <f t="shared" si="18"/>
        <v>0</v>
      </c>
      <c r="T264" s="195">
        <f t="shared" si="18"/>
        <v>0</v>
      </c>
      <c r="U264" s="195">
        <f t="shared" si="18"/>
        <v>0</v>
      </c>
      <c r="V264" s="196">
        <f t="shared" si="18"/>
        <v>0</v>
      </c>
      <c r="Y264">
        <v>4</v>
      </c>
      <c r="Z264" s="206">
        <f>[1]USVOJENE_VREDNOSTI!C146</f>
        <v>133.65</v>
      </c>
      <c r="AA264" s="90">
        <f>[1]USVOJENE_VREDNOSTI!D146</f>
        <v>86.73</v>
      </c>
      <c r="AB264" s="90">
        <f>[1]USVOJENE_VREDNOSTI!E146</f>
        <v>96.05</v>
      </c>
      <c r="AC264" s="91">
        <f>[1]USVOJENE_VREDNOSTI!F146</f>
        <v>44.64</v>
      </c>
      <c r="AD264" s="128">
        <f t="shared" si="16"/>
        <v>90.267499999999998</v>
      </c>
    </row>
    <row r="265" spans="1:30" ht="16.2" thickBot="1">
      <c r="A265" s="16" t="s">
        <v>145</v>
      </c>
      <c r="B265" s="184">
        <f>B264-B266</f>
        <v>0</v>
      </c>
      <c r="C265" s="5" t="s">
        <v>359</v>
      </c>
      <c r="D265" s="23"/>
      <c r="Y265">
        <v>5</v>
      </c>
      <c r="Z265" s="206">
        <f>[1]USVOJENE_VREDNOSTI!C147</f>
        <v>170.43</v>
      </c>
      <c r="AA265" s="90">
        <f>[1]USVOJENE_VREDNOSTI!D147</f>
        <v>86.28</v>
      </c>
      <c r="AB265" s="90">
        <f>[1]USVOJENE_VREDNOSTI!E147</f>
        <v>112.9</v>
      </c>
      <c r="AC265" s="91">
        <f>[1]USVOJENE_VREDNOSTI!F147</f>
        <v>55.69</v>
      </c>
      <c r="AD265" s="128">
        <f t="shared" si="16"/>
        <v>106.325</v>
      </c>
    </row>
    <row r="266" spans="1:30" ht="16.8" thickBot="1">
      <c r="A266" s="16"/>
      <c r="B266" s="184">
        <f>IF(UNOS!K21,SUM(K264:V264),0)</f>
        <v>0</v>
      </c>
      <c r="C266" s="5" t="s">
        <v>360</v>
      </c>
      <c r="D266" s="23"/>
      <c r="J266" s="84" t="s">
        <v>477</v>
      </c>
      <c r="K266" s="376" t="s">
        <v>531</v>
      </c>
      <c r="L266" s="377"/>
      <c r="M266" s="377"/>
      <c r="N266" s="377"/>
      <c r="O266" s="377"/>
      <c r="P266" s="377"/>
      <c r="Q266" s="377"/>
      <c r="R266" s="377"/>
      <c r="S266" s="377"/>
      <c r="T266" s="377"/>
      <c r="U266" s="377"/>
      <c r="V266" s="378"/>
      <c r="Y266">
        <v>6</v>
      </c>
      <c r="Z266" s="206">
        <f>[1]USVOJENE_VREDNOSTI!C148</f>
        <v>181.23</v>
      </c>
      <c r="AA266" s="90">
        <f>[1]USVOJENE_VREDNOSTI!D148</f>
        <v>81.430000000000007</v>
      </c>
      <c r="AB266" s="90">
        <f>[1]USVOJENE_VREDNOSTI!E148</f>
        <v>116.78</v>
      </c>
      <c r="AC266" s="91">
        <f>[1]USVOJENE_VREDNOSTI!F148</f>
        <v>56.88</v>
      </c>
      <c r="AD266" s="128">
        <f t="shared" si="16"/>
        <v>109.07999999999998</v>
      </c>
    </row>
    <row r="267" spans="1:30">
      <c r="A267" s="16"/>
      <c r="B267" s="188">
        <f>IF(UNOS!K21,VLOOKUP(B255,B52:J59,9,FALSE),0)</f>
        <v>0</v>
      </c>
      <c r="C267" s="5" t="s">
        <v>195</v>
      </c>
      <c r="D267" s="23"/>
      <c r="G267" s="2"/>
      <c r="H267" s="7"/>
      <c r="I267" s="7"/>
      <c r="J267" s="85" t="s">
        <v>474</v>
      </c>
      <c r="K267" s="86">
        <f>Z261</f>
        <v>42.75</v>
      </c>
      <c r="L267" s="87">
        <f>Z262</f>
        <v>60.35</v>
      </c>
      <c r="M267" s="87">
        <f>Z263</f>
        <v>103.86</v>
      </c>
      <c r="N267" s="82">
        <f>Z264</f>
        <v>133.65</v>
      </c>
      <c r="O267" s="87">
        <f>Z265</f>
        <v>170.43</v>
      </c>
      <c r="P267" s="82">
        <f>Z266</f>
        <v>181.23</v>
      </c>
      <c r="Q267" s="82">
        <f>Z267</f>
        <v>192.83</v>
      </c>
      <c r="R267" s="82">
        <f>Z268</f>
        <v>170.43</v>
      </c>
      <c r="S267" s="82">
        <f>Z269</f>
        <v>127.58</v>
      </c>
      <c r="T267" s="82">
        <f>Z270</f>
        <v>88.94</v>
      </c>
      <c r="U267" s="82">
        <f>Z271</f>
        <v>45.5</v>
      </c>
      <c r="V267" s="83">
        <f>Z272</f>
        <v>33.869999999999997</v>
      </c>
      <c r="Y267">
        <v>7</v>
      </c>
      <c r="Z267" s="206">
        <f>[1]USVOJENE_VREDNOSTI!C149</f>
        <v>192.83</v>
      </c>
      <c r="AA267" s="90">
        <f>[1]USVOJENE_VREDNOSTI!D149</f>
        <v>90.31</v>
      </c>
      <c r="AB267" s="90">
        <f>[1]USVOJENE_VREDNOSTI!E149</f>
        <v>125.22</v>
      </c>
      <c r="AC267" s="91">
        <f>[1]USVOJENE_VREDNOSTI!F149</f>
        <v>58.27</v>
      </c>
      <c r="AD267" s="128">
        <f t="shared" si="16"/>
        <v>116.6575</v>
      </c>
    </row>
    <row r="268" spans="1:30" ht="15.6">
      <c r="A268" s="16" t="s">
        <v>214</v>
      </c>
      <c r="B268" s="184">
        <f>IF(UNOS!K21,B264/B267,0)</f>
        <v>0</v>
      </c>
      <c r="C268" s="5" t="s">
        <v>215</v>
      </c>
      <c r="D268" s="23"/>
      <c r="G268" s="2"/>
      <c r="H268" s="7"/>
      <c r="I268" s="7"/>
      <c r="J268" s="88" t="s">
        <v>306</v>
      </c>
      <c r="K268" s="89">
        <f>AA261</f>
        <v>64.25</v>
      </c>
      <c r="L268" s="90">
        <f>AA262</f>
        <v>76.98</v>
      </c>
      <c r="M268" s="90">
        <f>AA263</f>
        <v>96.43</v>
      </c>
      <c r="N268" s="90">
        <f>AA264</f>
        <v>86.73</v>
      </c>
      <c r="O268" s="90">
        <f>AA265</f>
        <v>86.28</v>
      </c>
      <c r="P268" s="90">
        <f>AA266</f>
        <v>81.430000000000007</v>
      </c>
      <c r="Q268" s="90">
        <f>AA267</f>
        <v>90.31</v>
      </c>
      <c r="R268" s="90">
        <f>AA268</f>
        <v>99.43</v>
      </c>
      <c r="S268" s="90">
        <f>AA269</f>
        <v>107.38</v>
      </c>
      <c r="T268" s="90">
        <f>AA270</f>
        <v>109.22</v>
      </c>
      <c r="U268" s="90">
        <f>AA271</f>
        <v>66.52</v>
      </c>
      <c r="V268" s="91">
        <f>AA272</f>
        <v>52.8</v>
      </c>
      <c r="Y268">
        <v>8</v>
      </c>
      <c r="Z268" s="206">
        <f>[1]USVOJENE_VREDNOSTI!C150</f>
        <v>170.43</v>
      </c>
      <c r="AA268" s="90">
        <f>[1]USVOJENE_VREDNOSTI!D150</f>
        <v>99.43</v>
      </c>
      <c r="AB268" s="90">
        <f>[1]USVOJENE_VREDNOSTI!E150</f>
        <v>114.37</v>
      </c>
      <c r="AC268" s="91">
        <f>[1]USVOJENE_VREDNOSTI!F150</f>
        <v>52.83</v>
      </c>
      <c r="AD268" s="128">
        <f t="shared" si="16"/>
        <v>109.265</v>
      </c>
    </row>
    <row r="269" spans="1:30" ht="15.6">
      <c r="A269" s="16" t="s">
        <v>214</v>
      </c>
      <c r="B269" s="184">
        <f>IF(UNOS!K21,B265/B267,0)</f>
        <v>0</v>
      </c>
      <c r="C269" s="5" t="s">
        <v>244</v>
      </c>
      <c r="D269" s="23"/>
      <c r="G269" s="2"/>
      <c r="H269" s="7"/>
      <c r="I269" s="7"/>
      <c r="J269" s="88" t="s">
        <v>307</v>
      </c>
      <c r="K269" s="89">
        <f>AB261</f>
        <v>32.57</v>
      </c>
      <c r="L269" s="90">
        <f>AB262</f>
        <v>55.35</v>
      </c>
      <c r="M269" s="90">
        <f>AB263</f>
        <v>79.8</v>
      </c>
      <c r="N269" s="90">
        <f>AB264</f>
        <v>96.05</v>
      </c>
      <c r="O269" s="90">
        <f>AB265</f>
        <v>112.9</v>
      </c>
      <c r="P269" s="90">
        <f>AB266</f>
        <v>116.78</v>
      </c>
      <c r="Q269" s="90">
        <f>AB267</f>
        <v>125.22</v>
      </c>
      <c r="R269" s="90">
        <f>AB268</f>
        <v>114.37</v>
      </c>
      <c r="S269" s="90">
        <f>AB269</f>
        <v>91.32</v>
      </c>
      <c r="T269" s="92">
        <f>AB270</f>
        <v>67.209999999999994</v>
      </c>
      <c r="U269" s="92">
        <f>AB271</f>
        <v>34.67</v>
      </c>
      <c r="V269" s="93">
        <f>AB272</f>
        <v>25.53</v>
      </c>
      <c r="Y269">
        <v>9</v>
      </c>
      <c r="Z269" s="206">
        <f>[1]USVOJENE_VREDNOSTI!C151</f>
        <v>127.58</v>
      </c>
      <c r="AA269" s="90">
        <f>[1]USVOJENE_VREDNOSTI!D151</f>
        <v>107.38</v>
      </c>
      <c r="AB269" s="90">
        <f>[1]USVOJENE_VREDNOSTI!E151</f>
        <v>91.32</v>
      </c>
      <c r="AC269" s="91">
        <f>[1]USVOJENE_VREDNOSTI!F151</f>
        <v>38.78</v>
      </c>
      <c r="AD269" s="128">
        <f t="shared" si="16"/>
        <v>91.264999999999986</v>
      </c>
    </row>
    <row r="270" spans="1:30" ht="15" thickBot="1">
      <c r="A270" s="16"/>
      <c r="B270" s="184">
        <f>B268-B269</f>
        <v>0</v>
      </c>
      <c r="C270" s="5" t="s">
        <v>222</v>
      </c>
      <c r="D270" s="23"/>
      <c r="G270" s="2"/>
      <c r="H270" s="7"/>
      <c r="I270" s="7"/>
      <c r="J270" s="94" t="s">
        <v>308</v>
      </c>
      <c r="K270" s="95">
        <f>AC261</f>
        <v>17.420000000000002</v>
      </c>
      <c r="L270" s="96">
        <f>AC262</f>
        <v>22.38</v>
      </c>
      <c r="M270" s="96">
        <f>AC263</f>
        <v>36.04</v>
      </c>
      <c r="N270" s="96">
        <f>AC264</f>
        <v>44.64</v>
      </c>
      <c r="O270" s="96">
        <f>AC265</f>
        <v>55.69</v>
      </c>
      <c r="P270" s="96">
        <f>AC266</f>
        <v>56.88</v>
      </c>
      <c r="Q270" s="96">
        <f>AC267</f>
        <v>58.27</v>
      </c>
      <c r="R270" s="96">
        <f>AC268</f>
        <v>52.83</v>
      </c>
      <c r="S270" s="96">
        <f>AC269</f>
        <v>38.78</v>
      </c>
      <c r="T270" s="97">
        <f>AC270</f>
        <v>29.16</v>
      </c>
      <c r="U270" s="97">
        <f>AC271</f>
        <v>17.93</v>
      </c>
      <c r="V270" s="98">
        <f>AC272</f>
        <v>14.31</v>
      </c>
      <c r="Y270">
        <v>10</v>
      </c>
      <c r="Z270" s="206">
        <f>[1]USVOJENE_VREDNOSTI!C152</f>
        <v>88.94</v>
      </c>
      <c r="AA270" s="90">
        <f>[1]USVOJENE_VREDNOSTI!D152</f>
        <v>109.22</v>
      </c>
      <c r="AB270" s="90">
        <f>[1]USVOJENE_VREDNOSTI!E152</f>
        <v>67.209999999999994</v>
      </c>
      <c r="AC270" s="91">
        <f>[1]USVOJENE_VREDNOSTI!F152</f>
        <v>29.16</v>
      </c>
      <c r="AD270" s="128">
        <f t="shared" si="16"/>
        <v>73.632500000000007</v>
      </c>
    </row>
    <row r="271" spans="1:30" ht="15" thickBot="1">
      <c r="A271" s="2"/>
      <c r="B271" s="188">
        <f>IF(UNOS!K21,VLOOKUP(B255,$B$52:$P$59,14,FALSE),0)</f>
        <v>0</v>
      </c>
      <c r="C271" s="6" t="s">
        <v>196</v>
      </c>
      <c r="J271" s="197" t="s">
        <v>475</v>
      </c>
      <c r="K271" s="198">
        <f>AVERAGE(K267:K270)</f>
        <v>39.247500000000002</v>
      </c>
      <c r="L271" s="199">
        <f t="shared" ref="L271:V271" si="19">AVERAGE(L267:L270)</f>
        <v>53.765000000000001</v>
      </c>
      <c r="M271" s="199">
        <f t="shared" si="19"/>
        <v>79.032500000000013</v>
      </c>
      <c r="N271" s="199">
        <f t="shared" si="19"/>
        <v>90.267499999999998</v>
      </c>
      <c r="O271" s="199">
        <f t="shared" si="19"/>
        <v>106.325</v>
      </c>
      <c r="P271" s="199">
        <f t="shared" si="19"/>
        <v>109.07999999999998</v>
      </c>
      <c r="Q271" s="199">
        <f t="shared" si="19"/>
        <v>116.6575</v>
      </c>
      <c r="R271" s="199">
        <f t="shared" si="19"/>
        <v>109.265</v>
      </c>
      <c r="S271" s="199">
        <f t="shared" si="19"/>
        <v>91.264999999999986</v>
      </c>
      <c r="T271" s="199">
        <f t="shared" si="19"/>
        <v>73.632500000000007</v>
      </c>
      <c r="U271" s="199">
        <f t="shared" si="19"/>
        <v>41.155000000000001</v>
      </c>
      <c r="V271" s="200">
        <f t="shared" si="19"/>
        <v>31.627499999999998</v>
      </c>
      <c r="Y271">
        <v>11</v>
      </c>
      <c r="Z271" s="206">
        <f>[1]USVOJENE_VREDNOSTI!C153</f>
        <v>45.5</v>
      </c>
      <c r="AA271" s="90">
        <f>[1]USVOJENE_VREDNOSTI!D153</f>
        <v>66.52</v>
      </c>
      <c r="AB271" s="90">
        <f>[1]USVOJENE_VREDNOSTI!E153</f>
        <v>34.67</v>
      </c>
      <c r="AC271" s="91">
        <f>[1]USVOJENE_VREDNOSTI!F153</f>
        <v>17.93</v>
      </c>
      <c r="AD271" s="128">
        <f t="shared" si="16"/>
        <v>41.155000000000001</v>
      </c>
    </row>
    <row r="272" spans="1:30" ht="16.2" thickBot="1">
      <c r="A272" s="16" t="s">
        <v>197</v>
      </c>
      <c r="B272" s="184">
        <f>B268*B271</f>
        <v>0</v>
      </c>
      <c r="C272" s="5" t="s">
        <v>241</v>
      </c>
      <c r="Y272">
        <v>12</v>
      </c>
      <c r="Z272" s="321">
        <f>[1]USVOJENE_VREDNOSTI!C154</f>
        <v>33.869999999999997</v>
      </c>
      <c r="AA272" s="96">
        <f>[1]USVOJENE_VREDNOSTI!D154</f>
        <v>52.8</v>
      </c>
      <c r="AB272" s="96">
        <f>[1]USVOJENE_VREDNOSTI!E154</f>
        <v>25.53</v>
      </c>
      <c r="AC272" s="322">
        <f>[1]USVOJENE_VREDNOSTI!F154</f>
        <v>14.31</v>
      </c>
      <c r="AD272" s="320">
        <f t="shared" si="16"/>
        <v>31.627499999999998</v>
      </c>
    </row>
    <row r="273" spans="1:30" ht="16.2" thickBot="1">
      <c r="A273" s="16" t="s">
        <v>197</v>
      </c>
      <c r="B273" s="184">
        <f>B269*B271</f>
        <v>0</v>
      </c>
      <c r="C273" s="5" t="s">
        <v>242</v>
      </c>
      <c r="Y273" t="s">
        <v>268</v>
      </c>
      <c r="Z273" s="323">
        <f>[1]USVOJENE_VREDNOSTI!C155</f>
        <v>398</v>
      </c>
      <c r="AA273" s="324">
        <f>[1]USVOJENE_VREDNOSTI!D155</f>
        <v>455</v>
      </c>
      <c r="AB273" s="324">
        <f>[1]USVOJENE_VREDNOSTI!E155</f>
        <v>310</v>
      </c>
      <c r="AC273" s="325">
        <f>[1]USVOJENE_VREDNOSTI!F155</f>
        <v>145</v>
      </c>
      <c r="AD273" s="132">
        <v>145</v>
      </c>
    </row>
    <row r="274" spans="1:30" ht="15.6">
      <c r="A274" s="16" t="s">
        <v>182</v>
      </c>
      <c r="B274" s="184">
        <f>B272-B273</f>
        <v>0</v>
      </c>
      <c r="C274" s="5" t="s">
        <v>205</v>
      </c>
    </row>
    <row r="275" spans="1:30">
      <c r="A275" s="16"/>
      <c r="B275" s="187">
        <f>IF(UNOS!K21,VLOOKUP(B255,B52:W59,22,FALSE),0)</f>
        <v>0</v>
      </c>
      <c r="C275" s="6" t="s">
        <v>225</v>
      </c>
      <c r="D275" s="23"/>
    </row>
    <row r="276" spans="1:30">
      <c r="A276" s="16"/>
      <c r="B276" s="184">
        <f>B268*B275</f>
        <v>0</v>
      </c>
      <c r="C276" s="5" t="s">
        <v>224</v>
      </c>
    </row>
    <row r="277" spans="1:30">
      <c r="A277" s="16"/>
      <c r="B277" s="184">
        <f>B269*B275</f>
        <v>0</v>
      </c>
      <c r="C277" s="5" t="s">
        <v>243</v>
      </c>
    </row>
    <row r="278" spans="1:30">
      <c r="A278" s="16"/>
      <c r="B278" s="184">
        <f>B276-B277</f>
        <v>0</v>
      </c>
      <c r="C278" s="5" t="s">
        <v>209</v>
      </c>
    </row>
    <row r="279" spans="1:30">
      <c r="A279" s="2"/>
      <c r="B279" s="184">
        <f>IF(UNOS!K21,B272*VLOOKUP(B255,B52:AB59,27,FALSE),0)</f>
        <v>0</v>
      </c>
      <c r="C279" s="5" t="s">
        <v>245</v>
      </c>
      <c r="D279" s="23"/>
    </row>
    <row r="280" spans="1:30">
      <c r="A280" s="16"/>
      <c r="B280" s="184">
        <f>IF(UNOS!K21,B273*VLOOKUP(B255,B52:AB59,27,FALSE),0)</f>
        <v>0</v>
      </c>
      <c r="C280" s="5" t="s">
        <v>246</v>
      </c>
    </row>
    <row r="281" spans="1:30">
      <c r="A281" s="2"/>
      <c r="B281" s="184">
        <f>B279-B280</f>
        <v>0</v>
      </c>
      <c r="C281" s="5" t="s">
        <v>210</v>
      </c>
      <c r="D281" s="23"/>
    </row>
    <row r="282" spans="1:30" ht="15.6">
      <c r="A282" s="16" t="s">
        <v>182</v>
      </c>
      <c r="B282" s="184">
        <f>IF(OR(B255=B52,B255=B57),0,B274)</f>
        <v>0</v>
      </c>
      <c r="C282" s="5" t="s">
        <v>392</v>
      </c>
    </row>
    <row r="284" spans="1:30" s="68" customFormat="1" ht="5.0999999999999996" customHeight="1">
      <c r="A284" s="66"/>
      <c r="B284" s="67"/>
      <c r="Q284" s="69"/>
      <c r="R284" s="69"/>
      <c r="S284" s="69"/>
      <c r="T284" s="69"/>
      <c r="U284" s="69"/>
      <c r="V284" s="69"/>
      <c r="W284" s="70"/>
      <c r="X284" s="69"/>
      <c r="Y284" s="69"/>
      <c r="AC284" s="69"/>
      <c r="AD284" s="69"/>
    </row>
    <row r="285" spans="1:30">
      <c r="A285" s="2"/>
      <c r="B285" s="23"/>
      <c r="Q285" s="50"/>
      <c r="R285" s="50"/>
      <c r="S285" s="50"/>
      <c r="T285" s="50"/>
      <c r="U285" s="50"/>
      <c r="V285" s="50"/>
      <c r="W285" s="65"/>
    </row>
    <row r="286" spans="1:30">
      <c r="A286" s="2"/>
      <c r="B286" s="3" t="s">
        <v>283</v>
      </c>
      <c r="C286" s="23"/>
      <c r="Q286" s="50"/>
      <c r="R286" s="50"/>
      <c r="S286" s="50"/>
      <c r="T286" s="50"/>
      <c r="U286" s="50"/>
      <c r="V286" s="50"/>
      <c r="W286" s="65"/>
    </row>
    <row r="287" spans="1:30" ht="15" thickBot="1">
      <c r="A287" s="2"/>
      <c r="B287" s="23"/>
      <c r="D287" s="23"/>
      <c r="J287" s="60" t="s">
        <v>269</v>
      </c>
      <c r="K287" s="60"/>
      <c r="L287" s="60"/>
      <c r="M287" s="60"/>
      <c r="N287" s="60"/>
      <c r="O287" s="60"/>
      <c r="P287" s="61" t="s">
        <v>270</v>
      </c>
      <c r="Q287" s="61"/>
      <c r="R287" s="61"/>
    </row>
    <row r="288" spans="1:30" ht="14.4" customHeight="1">
      <c r="A288" s="2"/>
      <c r="B288" s="141" t="b">
        <f>IF(UNOS!K22,TRUE)</f>
        <v>0</v>
      </c>
      <c r="C288" s="6" t="s">
        <v>223</v>
      </c>
      <c r="J288" s="381" t="s">
        <v>271</v>
      </c>
      <c r="K288" s="383" t="s">
        <v>272</v>
      </c>
      <c r="L288" s="379" t="s">
        <v>273</v>
      </c>
      <c r="M288" s="62"/>
      <c r="N288" s="62"/>
      <c r="O288" s="62"/>
      <c r="P288" s="381" t="s">
        <v>271</v>
      </c>
      <c r="Q288" s="383" t="s">
        <v>272</v>
      </c>
      <c r="R288" s="379" t="s">
        <v>273</v>
      </c>
    </row>
    <row r="289" spans="1:18">
      <c r="A289" s="2"/>
      <c r="B289" s="207" t="str">
        <f xml:space="preserve">  IF(UNOS!K184,"кров", IF(UNOS!K185,"простор окућнице","ПРОВЕРА УНОСА"))</f>
        <v>ПРОВЕРА УНОСА</v>
      </c>
      <c r="C289" t="s">
        <v>294</v>
      </c>
      <c r="J289" s="382"/>
      <c r="K289" s="384"/>
      <c r="L289" s="380"/>
      <c r="M289" s="62"/>
      <c r="N289" s="62"/>
      <c r="O289" s="62"/>
      <c r="P289" s="382"/>
      <c r="Q289" s="384"/>
      <c r="R289" s="380"/>
    </row>
    <row r="290" spans="1:18">
      <c r="A290" s="2"/>
      <c r="B290" s="207">
        <f>UNOS!C188</f>
        <v>0</v>
      </c>
      <c r="C290" t="s">
        <v>523</v>
      </c>
      <c r="J290" s="312">
        <v>1</v>
      </c>
      <c r="K290" s="308" t="s">
        <v>309</v>
      </c>
      <c r="L290" s="309">
        <f>[1]USVOJENE_VREDNOSTI!D189</f>
        <v>1.175</v>
      </c>
      <c r="M290" s="62"/>
      <c r="N290" s="62"/>
      <c r="O290" s="62"/>
      <c r="P290" s="312">
        <v>1</v>
      </c>
      <c r="Q290" s="308" t="s">
        <v>309</v>
      </c>
      <c r="R290" s="309">
        <f>[1]USVOJENE_VREDNOSTI!D160</f>
        <v>1.4119999999999999</v>
      </c>
    </row>
    <row r="291" spans="1:18">
      <c r="A291" s="2"/>
      <c r="B291" s="187">
        <f>UNOS!C189</f>
        <v>0</v>
      </c>
      <c r="C291" t="s">
        <v>524</v>
      </c>
      <c r="D291" s="23"/>
      <c r="J291" s="312">
        <v>2</v>
      </c>
      <c r="K291" s="308" t="s">
        <v>310</v>
      </c>
      <c r="L291" s="309">
        <f>[1]USVOJENE_VREDNOSTI!D190</f>
        <v>1.179</v>
      </c>
      <c r="M291" s="62"/>
      <c r="N291" s="62"/>
      <c r="O291" s="62"/>
      <c r="P291" s="312">
        <v>2</v>
      </c>
      <c r="Q291" s="308" t="s">
        <v>310</v>
      </c>
      <c r="R291" s="309">
        <f>[1]USVOJENE_VREDNOSTI!D161</f>
        <v>1.417</v>
      </c>
    </row>
    <row r="292" spans="1:18">
      <c r="A292" s="16"/>
      <c r="B292" s="188">
        <f>B290*B291</f>
        <v>0</v>
      </c>
      <c r="C292" t="s">
        <v>501</v>
      </c>
      <c r="D292" s="23"/>
      <c r="J292" s="312">
        <v>3</v>
      </c>
      <c r="K292" s="308" t="s">
        <v>311</v>
      </c>
      <c r="L292" s="309">
        <f>[1]USVOJENE_VREDNOSTI!D191</f>
        <v>1.1779999999999999</v>
      </c>
      <c r="M292" s="62"/>
      <c r="N292" s="62"/>
      <c r="O292" s="62"/>
      <c r="P292" s="312">
        <v>3</v>
      </c>
      <c r="Q292" s="308" t="s">
        <v>311</v>
      </c>
      <c r="R292" s="309">
        <f>[1]USVOJENE_VREDNOSTI!D162</f>
        <v>1.4159999999999999</v>
      </c>
    </row>
    <row r="293" spans="1:18">
      <c r="A293" s="16"/>
      <c r="B293" s="187" t="e">
        <f>UNOS!C190</f>
        <v>#N/A</v>
      </c>
      <c r="C293" s="6" t="s">
        <v>293</v>
      </c>
      <c r="D293" s="23"/>
      <c r="J293" s="312">
        <v>4</v>
      </c>
      <c r="K293" s="308" t="s">
        <v>312</v>
      </c>
      <c r="L293" s="309">
        <f>[1]USVOJENE_VREDNOSTI!D192</f>
        <v>1.1839999999999999</v>
      </c>
      <c r="M293" s="62"/>
      <c r="N293" s="62"/>
      <c r="O293" s="62"/>
      <c r="P293" s="312">
        <v>4</v>
      </c>
      <c r="Q293" s="308" t="s">
        <v>312</v>
      </c>
      <c r="R293" s="309">
        <f>[1]USVOJENE_VREDNOSTI!D163</f>
        <v>1.423</v>
      </c>
    </row>
    <row r="294" spans="1:18">
      <c r="A294" s="16" t="s">
        <v>296</v>
      </c>
      <c r="B294" s="141">
        <f>IF(B288,IF(B289="кров",VLOOKUP(B293,KALKULATOR!K290:L314,2,FALSE),VLOOKUP(B293,KALKULATOR!Q290:R314,2,FALSE)),0)</f>
        <v>0</v>
      </c>
      <c r="C294" s="6" t="s">
        <v>295</v>
      </c>
      <c r="D294" s="23"/>
      <c r="J294" s="312">
        <v>5</v>
      </c>
      <c r="K294" s="308" t="s">
        <v>313</v>
      </c>
      <c r="L294" s="309">
        <f>[1]USVOJENE_VREDNOSTI!D193</f>
        <v>1.1850000000000001</v>
      </c>
      <c r="M294" s="62"/>
      <c r="N294" s="61"/>
      <c r="O294" s="61"/>
      <c r="P294" s="312">
        <v>5</v>
      </c>
      <c r="Q294" s="308" t="s">
        <v>313</v>
      </c>
      <c r="R294" s="309">
        <f>[1]USVOJENE_VREDNOSTI!D164</f>
        <v>1.4239999999999999</v>
      </c>
    </row>
    <row r="295" spans="1:18" ht="15.6">
      <c r="A295" s="16" t="s">
        <v>214</v>
      </c>
      <c r="B295" s="184">
        <f>UNOS!C182</f>
        <v>0</v>
      </c>
      <c r="C295" s="5" t="s">
        <v>497</v>
      </c>
      <c r="D295" s="23"/>
      <c r="J295" s="312">
        <v>6</v>
      </c>
      <c r="K295" s="308" t="s">
        <v>314</v>
      </c>
      <c r="L295" s="309">
        <f>[1]USVOJENE_VREDNOSTI!D194</f>
        <v>1.177</v>
      </c>
      <c r="M295" s="60"/>
      <c r="N295" s="60"/>
      <c r="O295" s="60"/>
      <c r="P295" s="312">
        <v>6</v>
      </c>
      <c r="Q295" s="308" t="s">
        <v>314</v>
      </c>
      <c r="R295" s="309">
        <f>[1]USVOJENE_VREDNOSTI!D165</f>
        <v>1.413</v>
      </c>
    </row>
    <row r="296" spans="1:18" ht="15.6">
      <c r="A296" s="16" t="s">
        <v>214</v>
      </c>
      <c r="B296" s="184">
        <f>IF((B295-B297)&lt;0,0,B295-B297)</f>
        <v>0</v>
      </c>
      <c r="C296" s="5" t="s">
        <v>504</v>
      </c>
      <c r="D296" s="23"/>
      <c r="J296" s="312">
        <v>7</v>
      </c>
      <c r="K296" s="308" t="s">
        <v>315</v>
      </c>
      <c r="L296" s="309">
        <f>[1]USVOJENE_VREDNOSTI!D195</f>
        <v>1.1870000000000001</v>
      </c>
      <c r="M296" s="62"/>
      <c r="N296" s="61"/>
      <c r="O296" s="61"/>
      <c r="P296" s="312">
        <v>7</v>
      </c>
      <c r="Q296" s="308" t="s">
        <v>315</v>
      </c>
      <c r="R296" s="309">
        <f>[1]USVOJENE_VREDNOSTI!D166</f>
        <v>1.4259999999999999</v>
      </c>
    </row>
    <row r="297" spans="1:18">
      <c r="A297" s="16"/>
      <c r="B297" s="184">
        <f>B294*B291*B290*1000</f>
        <v>0</v>
      </c>
      <c r="C297" s="5" t="s">
        <v>297</v>
      </c>
      <c r="D297" s="23"/>
      <c r="G297" s="2"/>
      <c r="H297" s="7"/>
      <c r="I297" s="7"/>
      <c r="J297" s="312">
        <v>8</v>
      </c>
      <c r="K297" s="308" t="s">
        <v>316</v>
      </c>
      <c r="L297" s="309">
        <f>[1]USVOJENE_VREDNOSTI!D196</f>
        <v>1.169</v>
      </c>
      <c r="M297" s="62"/>
      <c r="N297" s="61"/>
      <c r="O297" s="61"/>
      <c r="P297" s="312">
        <v>8</v>
      </c>
      <c r="Q297" s="308" t="s">
        <v>316</v>
      </c>
      <c r="R297" s="309">
        <f>[1]USVOJENE_VREDNOSTI!D167</f>
        <v>1.399</v>
      </c>
    </row>
    <row r="298" spans="1:18">
      <c r="A298" s="2"/>
      <c r="B298" s="188">
        <f>O58</f>
        <v>3.0150000000000001</v>
      </c>
      <c r="C298" s="6" t="s">
        <v>196</v>
      </c>
      <c r="J298" s="312">
        <v>9</v>
      </c>
      <c r="K298" s="308" t="s">
        <v>317</v>
      </c>
      <c r="L298" s="309">
        <f>[1]USVOJENE_VREDNOSTI!D197</f>
        <v>1.1859999999999999</v>
      </c>
      <c r="M298" s="62"/>
      <c r="N298" s="61"/>
      <c r="O298" s="61"/>
      <c r="P298" s="312">
        <v>9</v>
      </c>
      <c r="Q298" s="308" t="s">
        <v>317</v>
      </c>
      <c r="R298" s="309">
        <f>[1]USVOJENE_VREDNOSTI!D168</f>
        <v>1.4179999999999999</v>
      </c>
    </row>
    <row r="299" spans="1:18" ht="15.6">
      <c r="A299" s="16" t="s">
        <v>197</v>
      </c>
      <c r="B299" s="184">
        <f>B295*B298</f>
        <v>0</v>
      </c>
      <c r="C299" s="5" t="s">
        <v>300</v>
      </c>
      <c r="J299" s="312">
        <v>10</v>
      </c>
      <c r="K299" s="308" t="s">
        <v>318</v>
      </c>
      <c r="L299" s="309">
        <f>[1]USVOJENE_VREDNOSTI!D198</f>
        <v>1.1619999999999999</v>
      </c>
      <c r="M299" s="62"/>
      <c r="N299" s="61"/>
      <c r="O299" s="61"/>
      <c r="P299" s="312">
        <v>10</v>
      </c>
      <c r="Q299" s="308" t="s">
        <v>318</v>
      </c>
      <c r="R299" s="309">
        <f>[1]USVOJENE_VREDNOSTI!D169</f>
        <v>1.4159999999999999</v>
      </c>
    </row>
    <row r="300" spans="1:18" ht="15.6">
      <c r="A300" s="16" t="s">
        <v>197</v>
      </c>
      <c r="B300" s="184">
        <f>B296*B298</f>
        <v>0</v>
      </c>
      <c r="C300" s="5" t="s">
        <v>301</v>
      </c>
      <c r="J300" s="312">
        <v>11</v>
      </c>
      <c r="K300" s="308" t="s">
        <v>319</v>
      </c>
      <c r="L300" s="309">
        <f>[1]USVOJENE_VREDNOSTI!D199</f>
        <v>1.1779999999999999</v>
      </c>
      <c r="M300" s="62"/>
      <c r="N300" s="61"/>
      <c r="O300" s="61"/>
      <c r="P300" s="312">
        <v>11</v>
      </c>
      <c r="Q300" s="308" t="s">
        <v>319</v>
      </c>
      <c r="R300" s="309">
        <f>[1]USVOJENE_VREDNOSTI!D170</f>
        <v>1.4019999999999999</v>
      </c>
    </row>
    <row r="301" spans="1:18" ht="15.6">
      <c r="A301" s="16" t="s">
        <v>182</v>
      </c>
      <c r="B301" s="184">
        <f>B297*B298</f>
        <v>0</v>
      </c>
      <c r="C301" s="5" t="s">
        <v>205</v>
      </c>
      <c r="J301" s="312">
        <v>12</v>
      </c>
      <c r="K301" s="308" t="s">
        <v>320</v>
      </c>
      <c r="L301" s="309">
        <f>[1]USVOJENE_VREDNOSTI!D200</f>
        <v>1.1830000000000001</v>
      </c>
      <c r="M301" s="61"/>
      <c r="N301" s="61"/>
      <c r="O301" s="61"/>
      <c r="P301" s="312">
        <v>12</v>
      </c>
      <c r="Q301" s="308" t="s">
        <v>320</v>
      </c>
      <c r="R301" s="309">
        <f>[1]USVOJENE_VREDNOSTI!D171</f>
        <v>1.423</v>
      </c>
    </row>
    <row r="302" spans="1:18">
      <c r="A302" s="16"/>
      <c r="B302" s="207">
        <v>5</v>
      </c>
      <c r="C302" s="6" t="s">
        <v>298</v>
      </c>
      <c r="D302" s="23"/>
      <c r="J302" s="312">
        <v>13</v>
      </c>
      <c r="K302" s="308" t="s">
        <v>321</v>
      </c>
      <c r="L302" s="309">
        <f>[1]USVOJENE_VREDNOSTI!D201</f>
        <v>1.228</v>
      </c>
      <c r="M302" s="61"/>
      <c r="N302" s="61"/>
      <c r="O302" s="61"/>
      <c r="P302" s="312">
        <v>13</v>
      </c>
      <c r="Q302" s="308" t="s">
        <v>321</v>
      </c>
      <c r="R302" s="309">
        <f>[1]USVOJENE_VREDNOSTI!D172</f>
        <v>1.4590000000000001</v>
      </c>
    </row>
    <row r="303" spans="1:18">
      <c r="A303" s="16"/>
      <c r="B303" s="184">
        <f>B295*B302</f>
        <v>0</v>
      </c>
      <c r="C303" s="5" t="s">
        <v>302</v>
      </c>
      <c r="D303" s="23"/>
      <c r="J303" s="312">
        <v>14</v>
      </c>
      <c r="K303" s="308" t="s">
        <v>322</v>
      </c>
      <c r="L303" s="309">
        <f>[1]USVOJENE_VREDNOSTI!D202</f>
        <v>1.1779999999999999</v>
      </c>
      <c r="M303" s="61"/>
      <c r="N303" s="61"/>
      <c r="O303" s="61"/>
      <c r="P303" s="312">
        <v>14</v>
      </c>
      <c r="Q303" s="308" t="s">
        <v>322</v>
      </c>
      <c r="R303" s="309">
        <f>[1]USVOJENE_VREDNOSTI!D173</f>
        <v>1.411</v>
      </c>
    </row>
    <row r="304" spans="1:18">
      <c r="A304" s="16"/>
      <c r="B304" s="184">
        <f>B296*B302</f>
        <v>0</v>
      </c>
      <c r="C304" s="5" t="s">
        <v>303</v>
      </c>
      <c r="D304" s="23"/>
      <c r="J304" s="312">
        <v>15</v>
      </c>
      <c r="K304" s="308" t="s">
        <v>323</v>
      </c>
      <c r="L304" s="309">
        <f>[1]USVOJENE_VREDNOSTI!D203</f>
        <v>1.1819999999999999</v>
      </c>
      <c r="M304" s="61"/>
      <c r="N304" s="61"/>
      <c r="O304" s="61"/>
      <c r="P304" s="312">
        <v>15</v>
      </c>
      <c r="Q304" s="308" t="s">
        <v>323</v>
      </c>
      <c r="R304" s="309">
        <f>[1]USVOJENE_VREDNOSTI!D174</f>
        <v>1.415</v>
      </c>
    </row>
    <row r="305" spans="1:18">
      <c r="A305" s="16"/>
      <c r="B305" s="184">
        <f>B302*B301</f>
        <v>0</v>
      </c>
      <c r="C305" s="5" t="s">
        <v>209</v>
      </c>
      <c r="J305" s="312">
        <v>16</v>
      </c>
      <c r="K305" s="308" t="s">
        <v>324</v>
      </c>
      <c r="L305" s="309">
        <f>[1]USVOJENE_VREDNOSTI!D204</f>
        <v>1.1870000000000001</v>
      </c>
      <c r="M305" s="61"/>
      <c r="N305" s="61"/>
      <c r="O305" s="61"/>
      <c r="P305" s="312">
        <v>16</v>
      </c>
      <c r="Q305" s="308" t="s">
        <v>324</v>
      </c>
      <c r="R305" s="309">
        <f>[1]USVOJENE_VREDNOSTI!D175</f>
        <v>1.4259999999999999</v>
      </c>
    </row>
    <row r="306" spans="1:18">
      <c r="A306" s="16"/>
      <c r="B306" s="184">
        <f>B299*AB$55</f>
        <v>0</v>
      </c>
      <c r="C306" s="5" t="s">
        <v>304</v>
      </c>
      <c r="J306" s="312">
        <v>17</v>
      </c>
      <c r="K306" s="308" t="s">
        <v>325</v>
      </c>
      <c r="L306" s="309">
        <f>[1]USVOJENE_VREDNOSTI!D205</f>
        <v>1.2270000000000001</v>
      </c>
      <c r="M306" s="61"/>
      <c r="N306" s="61"/>
      <c r="O306" s="61"/>
      <c r="P306" s="312">
        <v>17</v>
      </c>
      <c r="Q306" s="308" t="s">
        <v>325</v>
      </c>
      <c r="R306" s="309">
        <f>[1]USVOJENE_VREDNOSTI!D176</f>
        <v>1.4830000000000001</v>
      </c>
    </row>
    <row r="307" spans="1:18">
      <c r="A307" s="16"/>
      <c r="B307" s="184">
        <f>B300*AB$55</f>
        <v>0</v>
      </c>
      <c r="C307" s="5" t="s">
        <v>305</v>
      </c>
      <c r="J307" s="312">
        <v>18</v>
      </c>
      <c r="K307" s="308" t="s">
        <v>90</v>
      </c>
      <c r="L307" s="309">
        <f>[1]USVOJENE_VREDNOSTI!D206</f>
        <v>1.196</v>
      </c>
      <c r="M307" s="61"/>
      <c r="N307" s="61"/>
      <c r="O307" s="61"/>
      <c r="P307" s="312">
        <v>18</v>
      </c>
      <c r="Q307" s="308" t="s">
        <v>90</v>
      </c>
      <c r="R307" s="309">
        <f>[1]USVOJENE_VREDNOSTI!D177</f>
        <v>1.4119999999999999</v>
      </c>
    </row>
    <row r="308" spans="1:18">
      <c r="A308" s="2"/>
      <c r="B308" s="184">
        <f>B301*AB$55</f>
        <v>0</v>
      </c>
      <c r="C308" s="5" t="s">
        <v>210</v>
      </c>
      <c r="D308" s="23"/>
      <c r="J308" s="312">
        <v>19</v>
      </c>
      <c r="K308" s="308" t="s">
        <v>326</v>
      </c>
      <c r="L308" s="309">
        <f>[1]USVOJENE_VREDNOSTI!D207</f>
        <v>1.1879999999999999</v>
      </c>
      <c r="M308" s="61"/>
      <c r="N308" s="61"/>
      <c r="O308" s="61"/>
      <c r="P308" s="312">
        <v>19</v>
      </c>
      <c r="Q308" s="308" t="s">
        <v>326</v>
      </c>
      <c r="R308" s="309">
        <f>[1]USVOJENE_VREDNOSTI!D178</f>
        <v>1.4079999999999999</v>
      </c>
    </row>
    <row r="309" spans="1:18" ht="15.6">
      <c r="A309" s="16" t="s">
        <v>182</v>
      </c>
      <c r="B309" s="184">
        <f>B301</f>
        <v>0</v>
      </c>
      <c r="C309" s="5" t="s">
        <v>392</v>
      </c>
      <c r="D309" s="23"/>
      <c r="J309" s="312">
        <v>20</v>
      </c>
      <c r="K309" s="308" t="s">
        <v>327</v>
      </c>
      <c r="L309" s="309">
        <f>[1]USVOJENE_VREDNOSTI!D208</f>
        <v>1.224</v>
      </c>
      <c r="M309" s="61"/>
      <c r="N309" s="61"/>
      <c r="O309" s="61"/>
      <c r="P309" s="312">
        <v>20</v>
      </c>
      <c r="Q309" s="308" t="s">
        <v>327</v>
      </c>
      <c r="R309" s="309">
        <f>[1]USVOJENE_VREDNOSTI!D179</f>
        <v>1.472</v>
      </c>
    </row>
    <row r="310" spans="1:18">
      <c r="J310" s="312">
        <v>21</v>
      </c>
      <c r="K310" s="308" t="s">
        <v>328</v>
      </c>
      <c r="L310" s="309">
        <f>[1]USVOJENE_VREDNOSTI!D209</f>
        <v>1.2470000000000001</v>
      </c>
      <c r="M310" s="61"/>
      <c r="N310" s="61"/>
      <c r="O310" s="61"/>
      <c r="P310" s="312">
        <v>21</v>
      </c>
      <c r="Q310" s="308" t="s">
        <v>328</v>
      </c>
      <c r="R310" s="309">
        <f>[1]USVOJENE_VREDNOSTI!D180</f>
        <v>1.4790000000000001</v>
      </c>
    </row>
    <row r="311" spans="1:18">
      <c r="J311" s="312">
        <v>22</v>
      </c>
      <c r="K311" s="308" t="s">
        <v>329</v>
      </c>
      <c r="L311" s="309">
        <f>[1]USVOJENE_VREDNOSTI!D210</f>
        <v>1.2310000000000001</v>
      </c>
      <c r="M311" s="61"/>
      <c r="N311" s="61"/>
      <c r="O311" s="61"/>
      <c r="P311" s="312">
        <v>22</v>
      </c>
      <c r="Q311" s="308" t="s">
        <v>329</v>
      </c>
      <c r="R311" s="309">
        <f>[1]USVOJENE_VREDNOSTI!D181</f>
        <v>1.4690000000000001</v>
      </c>
    </row>
    <row r="312" spans="1:18">
      <c r="J312" s="312">
        <v>23</v>
      </c>
      <c r="K312" s="308" t="s">
        <v>330</v>
      </c>
      <c r="L312" s="309">
        <f>[1]USVOJENE_VREDNOSTI!D211</f>
        <v>1.22</v>
      </c>
      <c r="M312" s="61"/>
      <c r="N312" s="61"/>
      <c r="O312" s="61"/>
      <c r="P312" s="312">
        <v>23</v>
      </c>
      <c r="Q312" s="308" t="s">
        <v>330</v>
      </c>
      <c r="R312" s="309">
        <f>[1]USVOJENE_VREDNOSTI!D182</f>
        <v>1.4730000000000001</v>
      </c>
    </row>
    <row r="313" spans="1:18">
      <c r="J313" s="312">
        <v>24</v>
      </c>
      <c r="K313" s="308" t="s">
        <v>331</v>
      </c>
      <c r="L313" s="309">
        <f>[1]USVOJENE_VREDNOSTI!D212</f>
        <v>1.248</v>
      </c>
      <c r="M313" s="61"/>
      <c r="N313" s="61"/>
      <c r="O313" s="61"/>
      <c r="P313" s="312">
        <v>24</v>
      </c>
      <c r="Q313" s="308" t="s">
        <v>331</v>
      </c>
      <c r="R313" s="309">
        <f>[1]USVOJENE_VREDNOSTI!D183</f>
        <v>1.494</v>
      </c>
    </row>
    <row r="314" spans="1:18" ht="15" thickBot="1">
      <c r="J314" s="313">
        <v>25</v>
      </c>
      <c r="K314" s="310" t="s">
        <v>332</v>
      </c>
      <c r="L314" s="311">
        <f>[1]USVOJENE_VREDNOSTI!D213</f>
        <v>1.268</v>
      </c>
      <c r="M314" s="61"/>
      <c r="N314" s="61"/>
      <c r="O314" s="61"/>
      <c r="P314" s="313">
        <v>25</v>
      </c>
      <c r="Q314" s="310" t="s">
        <v>332</v>
      </c>
      <c r="R314" s="311">
        <f>[1]USVOJENE_VREDNOSTI!D184</f>
        <v>1.526</v>
      </c>
    </row>
    <row r="316" spans="1:18" s="63" customFormat="1"/>
    <row r="317" spans="1:18">
      <c r="B317" s="21"/>
    </row>
    <row r="318" spans="1:18">
      <c r="B318" s="10" t="s">
        <v>119</v>
      </c>
    </row>
    <row r="319" spans="1:18">
      <c r="B319" s="22" t="s">
        <v>100</v>
      </c>
    </row>
    <row r="320" spans="1:18">
      <c r="B320" s="22" t="s">
        <v>103</v>
      </c>
    </row>
    <row r="321" spans="1:7">
      <c r="B321" s="22" t="s">
        <v>101</v>
      </c>
    </row>
    <row r="322" spans="1:7">
      <c r="B322" s="216" t="s">
        <v>102</v>
      </c>
    </row>
    <row r="323" spans="1:7">
      <c r="B323" s="22" t="s">
        <v>106</v>
      </c>
    </row>
    <row r="324" spans="1:7">
      <c r="B324" s="22" t="s">
        <v>107</v>
      </c>
      <c r="C324" s="1"/>
      <c r="D324" s="1"/>
      <c r="E324" s="1"/>
    </row>
    <row r="325" spans="1:7">
      <c r="B325" s="21"/>
    </row>
    <row r="326" spans="1:7" ht="23.4">
      <c r="A326" s="64" t="s">
        <v>343</v>
      </c>
    </row>
    <row r="327" spans="1:7">
      <c r="A327" s="92">
        <f>[1]USVOJENE_VREDNOSTI!B216</f>
        <v>0</v>
      </c>
      <c r="B327" s="92" t="str">
        <f>[1]USVOJENE_VREDNOSTI!C216</f>
        <v>ОПШТИНА</v>
      </c>
      <c r="C327" s="92" t="str">
        <f>[1]USVOJENE_VREDNOSTI!D216</f>
        <v>надморска</v>
      </c>
      <c r="D327" s="92" t="str">
        <f>[1]USVOJENE_VREDNOSTI!E216</f>
        <v>реф.место</v>
      </c>
      <c r="E327" s="92" t="str">
        <f>[1]USVOJENE_VREDNOSTI!F216</f>
        <v>надморска</v>
      </c>
      <c r="F327" s="92" t="str">
        <f>[1]USVOJENE_VREDNOSTI!G216</f>
        <v>HDD</v>
      </c>
      <c r="G327" s="92" t="str">
        <f>[1]USVOJENE_VREDNOSTI!H216</f>
        <v>ОБЛАСТ-ОКРУГ</v>
      </c>
    </row>
    <row r="328" spans="1:7">
      <c r="A328" s="92">
        <f>[1]USVOJENE_VREDNOSTI!B217</f>
        <v>66</v>
      </c>
      <c r="B328" s="209" t="str">
        <f>[1]USVOJENE_VREDNOSTI!C217</f>
        <v>Александровац</v>
      </c>
      <c r="C328" s="92">
        <f>[1]USVOJENE_VREDNOSTI!D217</f>
        <v>370</v>
      </c>
      <c r="D328" s="92" t="str">
        <f>[1]USVOJENE_VREDNOSTI!E217</f>
        <v>Крушевац</v>
      </c>
      <c r="E328" s="92">
        <f>[1]USVOJENE_VREDNOSTI!F217</f>
        <v>163</v>
      </c>
      <c r="F328" s="92">
        <f>[1]USVOJENE_VREDNOSTI!G217</f>
        <v>2588.6</v>
      </c>
      <c r="G328" s="92" t="str">
        <f>[1]USVOJENE_VREDNOSTI!H217</f>
        <v>Расинска</v>
      </c>
    </row>
    <row r="329" spans="1:7">
      <c r="A329" s="92">
        <f>[1]USVOJENE_VREDNOSTI!B218</f>
        <v>18</v>
      </c>
      <c r="B329" s="209" t="str">
        <f>[1]USVOJENE_VREDNOSTI!C218</f>
        <v>Алексинац</v>
      </c>
      <c r="C329" s="92">
        <f>[1]USVOJENE_VREDNOSTI!D218</f>
        <v>168</v>
      </c>
      <c r="D329" s="92" t="str">
        <f>[1]USVOJENE_VREDNOSTI!E218</f>
        <v>Ниш</v>
      </c>
      <c r="E329" s="92">
        <f>[1]USVOJENE_VREDNOSTI!F218</f>
        <v>195</v>
      </c>
      <c r="F329" s="92">
        <f>[1]USVOJENE_VREDNOSTI!G218</f>
        <v>2476.6999999999998</v>
      </c>
      <c r="G329" s="92" t="str">
        <f>[1]USVOJENE_VREDNOSTI!H218</f>
        <v>Нишавска</v>
      </c>
    </row>
    <row r="330" spans="1:7">
      <c r="A330" s="92">
        <f>[1]USVOJENE_VREDNOSTI!B219</f>
        <v>80</v>
      </c>
      <c r="B330" s="209" t="str">
        <f>[1]USVOJENE_VREDNOSTI!C219</f>
        <v>Алибунар</v>
      </c>
      <c r="C330" s="92">
        <f>[1]USVOJENE_VREDNOSTI!D219</f>
        <v>71</v>
      </c>
      <c r="D330" s="92" t="str">
        <f>[1]USVOJENE_VREDNOSTI!E219</f>
        <v>Банатски Карловац</v>
      </c>
      <c r="E330" s="175">
        <f>[1]USVOJENE_VREDNOSTI!F219</f>
        <v>89</v>
      </c>
      <c r="F330" s="92">
        <f>[1]USVOJENE_VREDNOSTI!G219</f>
        <v>2596.4</v>
      </c>
      <c r="G330" s="92" t="str">
        <f>[1]USVOJENE_VREDNOSTI!H219</f>
        <v>Јужнобанатска</v>
      </c>
    </row>
    <row r="331" spans="1:7">
      <c r="A331" s="92">
        <f>[1]USVOJENE_VREDNOSTI!B220</f>
        <v>12</v>
      </c>
      <c r="B331" s="209" t="str">
        <f>[1]USVOJENE_VREDNOSTI!C220</f>
        <v>Апатин</v>
      </c>
      <c r="C331" s="92">
        <f>[1]USVOJENE_VREDNOSTI!D220</f>
        <v>82</v>
      </c>
      <c r="D331" s="92" t="str">
        <f>[1]USVOJENE_VREDNOSTI!E220</f>
        <v>Сомбор</v>
      </c>
      <c r="E331" s="92">
        <f>[1]USVOJENE_VREDNOSTI!F220</f>
        <v>90</v>
      </c>
      <c r="F331" s="92">
        <f>[1]USVOJENE_VREDNOSTI!G220</f>
        <v>2686.2</v>
      </c>
      <c r="G331" s="92" t="str">
        <f>[1]USVOJENE_VREDNOSTI!H220</f>
        <v>Западнобачка</v>
      </c>
    </row>
    <row r="332" spans="1:7">
      <c r="A332" s="92">
        <f>[1]USVOJENE_VREDNOSTI!B221</f>
        <v>72</v>
      </c>
      <c r="B332" s="209" t="str">
        <f>[1]USVOJENE_VREDNOSTI!C221</f>
        <v>Аранђеловац</v>
      </c>
      <c r="C332" s="92">
        <f>[1]USVOJENE_VREDNOSTI!D221</f>
        <v>257</v>
      </c>
      <c r="D332" s="92" t="str">
        <f>[1]USVOJENE_VREDNOSTI!E221</f>
        <v>Смедеревска Паланка</v>
      </c>
      <c r="E332" s="92">
        <f>[1]USVOJENE_VREDNOSTI!F221</f>
        <v>125</v>
      </c>
      <c r="F332" s="92">
        <f>[1]USVOJENE_VREDNOSTI!G221</f>
        <v>2554.6</v>
      </c>
      <c r="G332" s="92" t="str">
        <f>[1]USVOJENE_VREDNOSTI!H221</f>
        <v>Шумадијска</v>
      </c>
    </row>
    <row r="333" spans="1:7">
      <c r="A333" s="92">
        <f>[1]USVOJENE_VREDNOSTI!B222</f>
        <v>33</v>
      </c>
      <c r="B333" s="209" t="str">
        <f>[1]USVOJENE_VREDNOSTI!C222</f>
        <v>Ариље</v>
      </c>
      <c r="C333" s="92">
        <f>[1]USVOJENE_VREDNOSTI!D222</f>
        <v>350</v>
      </c>
      <c r="D333" s="92" t="str">
        <f>[1]USVOJENE_VREDNOSTI!E222</f>
        <v>Пожега</v>
      </c>
      <c r="E333" s="92">
        <f>[1]USVOJENE_VREDNOSTI!F222</f>
        <v>315</v>
      </c>
      <c r="F333" s="92">
        <f>[1]USVOJENE_VREDNOSTI!G222</f>
        <v>3062</v>
      </c>
      <c r="G333" s="92" t="str">
        <f>[1]USVOJENE_VREDNOSTI!H222</f>
        <v>Златиборска</v>
      </c>
    </row>
    <row r="334" spans="1:7">
      <c r="A334" s="92">
        <f>[1]USVOJENE_VREDNOSTI!B223</f>
        <v>20</v>
      </c>
      <c r="B334" s="209" t="str">
        <f>[1]USVOJENE_VREDNOSTI!C223</f>
        <v>Бабушница</v>
      </c>
      <c r="C334" s="92">
        <f>[1]USVOJENE_VREDNOSTI!D223</f>
        <v>470</v>
      </c>
      <c r="D334" s="92" t="str">
        <f>[1]USVOJENE_VREDNOSTI!E223</f>
        <v>Пирот</v>
      </c>
      <c r="E334" s="92">
        <f>[1]USVOJENE_VREDNOSTI!F223</f>
        <v>367</v>
      </c>
      <c r="F334" s="92">
        <f>[1]USVOJENE_VREDNOSTI!G223</f>
        <v>2613.1</v>
      </c>
      <c r="G334" s="92" t="str">
        <f>[1]USVOJENE_VREDNOSTI!H223</f>
        <v>Пиротска</v>
      </c>
    </row>
    <row r="335" spans="1:7">
      <c r="A335" s="92">
        <f>[1]USVOJENE_VREDNOSTI!B224</f>
        <v>123</v>
      </c>
      <c r="B335" s="209" t="str">
        <f>[1]USVOJENE_VREDNOSTI!C224</f>
        <v>Бајина Башта</v>
      </c>
      <c r="C335" s="92">
        <f>[1]USVOJENE_VREDNOSTI!D224</f>
        <v>257</v>
      </c>
      <c r="D335" s="92" t="str">
        <f>[1]USVOJENE_VREDNOSTI!E224</f>
        <v>Љубовија</v>
      </c>
      <c r="E335" s="92">
        <f>[1]USVOJENE_VREDNOSTI!F224</f>
        <v>174</v>
      </c>
      <c r="F335" s="92">
        <f>[1]USVOJENE_VREDNOSTI!G224</f>
        <v>2627.9</v>
      </c>
      <c r="G335" s="92" t="str">
        <f>[1]USVOJENE_VREDNOSTI!H224</f>
        <v>Златиборска</v>
      </c>
    </row>
    <row r="336" spans="1:7">
      <c r="A336" s="92">
        <f>[1]USVOJENE_VREDNOSTI!B225</f>
        <v>67</v>
      </c>
      <c r="B336" s="209" t="str">
        <f>[1]USVOJENE_VREDNOSTI!C225</f>
        <v>Барајево</v>
      </c>
      <c r="C336" s="92">
        <f>[1]USVOJENE_VREDNOSTI!D225</f>
        <v>260</v>
      </c>
      <c r="D336" s="92" t="str">
        <f>[1]USVOJENE_VREDNOSTI!E225</f>
        <v>Београд</v>
      </c>
      <c r="E336" s="175">
        <f>[1]USVOJENE_VREDNOSTI!F225</f>
        <v>117</v>
      </c>
      <c r="F336" s="92">
        <f>[1]USVOJENE_VREDNOSTI!G225</f>
        <v>2299</v>
      </c>
      <c r="G336" s="92" t="str">
        <f>[1]USVOJENE_VREDNOSTI!H225</f>
        <v>Београдски</v>
      </c>
    </row>
    <row r="337" spans="1:7">
      <c r="A337" s="92">
        <f>[1]USVOJENE_VREDNOSTI!B226</f>
        <v>107</v>
      </c>
      <c r="B337" s="209" t="str">
        <f>[1]USVOJENE_VREDNOSTI!C226</f>
        <v>Баточина</v>
      </c>
      <c r="C337" s="92">
        <f>[1]USVOJENE_VREDNOSTI!D226</f>
        <v>111</v>
      </c>
      <c r="D337" s="92" t="str">
        <f>[1]USVOJENE_VREDNOSTI!E226</f>
        <v>Крагујевац</v>
      </c>
      <c r="E337" s="92">
        <f>[1]USVOJENE_VREDNOSTI!F226</f>
        <v>173</v>
      </c>
      <c r="F337" s="92">
        <f>[1]USVOJENE_VREDNOSTI!G226</f>
        <v>2530.9</v>
      </c>
      <c r="G337" s="92" t="str">
        <f>[1]USVOJENE_VREDNOSTI!H226</f>
        <v>Шумадијска</v>
      </c>
    </row>
    <row r="338" spans="1:7">
      <c r="A338" s="92">
        <f>[1]USVOJENE_VREDNOSTI!B227</f>
        <v>127</v>
      </c>
      <c r="B338" s="209" t="str">
        <f>[1]USVOJENE_VREDNOSTI!C227</f>
        <v>Бач</v>
      </c>
      <c r="C338" s="92">
        <f>[1]USVOJENE_VREDNOSTI!D227</f>
        <v>83</v>
      </c>
      <c r="D338" s="92" t="str">
        <f>[1]USVOJENE_VREDNOSTI!E227</f>
        <v>Нови Сад</v>
      </c>
      <c r="E338" s="92">
        <f>[1]USVOJENE_VREDNOSTI!F227</f>
        <v>80</v>
      </c>
      <c r="F338" s="92">
        <f>[1]USVOJENE_VREDNOSTI!G227</f>
        <v>2604.1999999999998</v>
      </c>
      <c r="G338" s="92" t="str">
        <f>[1]USVOJENE_VREDNOSTI!H227</f>
        <v>Јужнобачка</v>
      </c>
    </row>
    <row r="339" spans="1:7">
      <c r="A339" s="92">
        <f>[1]USVOJENE_VREDNOSTI!B228</f>
        <v>19</v>
      </c>
      <c r="B339" s="209" t="str">
        <f>[1]USVOJENE_VREDNOSTI!C228</f>
        <v>Бачка Топола</v>
      </c>
      <c r="C339" s="92">
        <f>[1]USVOJENE_VREDNOSTI!D228</f>
        <v>102</v>
      </c>
      <c r="D339" s="92" t="str">
        <f>[1]USVOJENE_VREDNOSTI!E228</f>
        <v>Сомбор</v>
      </c>
      <c r="E339" s="92">
        <f>[1]USVOJENE_VREDNOSTI!F228</f>
        <v>90</v>
      </c>
      <c r="F339" s="92">
        <f>[1]USVOJENE_VREDNOSTI!G228</f>
        <v>2686.2</v>
      </c>
      <c r="G339" s="92" t="str">
        <f>[1]USVOJENE_VREDNOSTI!H228</f>
        <v>Севернобачка</v>
      </c>
    </row>
    <row r="340" spans="1:7">
      <c r="A340" s="92">
        <f>[1]USVOJENE_VREDNOSTI!B229</f>
        <v>4</v>
      </c>
      <c r="B340" s="92" t="str">
        <f>[1]USVOJENE_VREDNOSTI!C229</f>
        <v>Бачки Петровац</v>
      </c>
      <c r="C340" s="92">
        <f>[1]USVOJENE_VREDNOSTI!D229</f>
        <v>86</v>
      </c>
      <c r="D340" s="92" t="str">
        <f>[1]USVOJENE_VREDNOSTI!E229</f>
        <v>Нови Сад</v>
      </c>
      <c r="E340" s="92">
        <f>[1]USVOJENE_VREDNOSTI!F229</f>
        <v>80</v>
      </c>
      <c r="F340" s="92">
        <f>[1]USVOJENE_VREDNOSTI!G229</f>
        <v>2604.1999999999998</v>
      </c>
      <c r="G340" s="92" t="str">
        <f>[1]USVOJENE_VREDNOSTI!H229</f>
        <v>Јужнобачка</v>
      </c>
    </row>
    <row r="341" spans="1:7">
      <c r="A341" s="92">
        <f>[1]USVOJENE_VREDNOSTI!B230</f>
        <v>108</v>
      </c>
      <c r="B341" s="209" t="str">
        <f>[1]USVOJENE_VREDNOSTI!C230</f>
        <v>Бела Паланка</v>
      </c>
      <c r="C341" s="92">
        <f>[1]USVOJENE_VREDNOSTI!D230</f>
        <v>394</v>
      </c>
      <c r="D341" s="92" t="str">
        <f>[1]USVOJENE_VREDNOSTI!E230</f>
        <v>Пирот</v>
      </c>
      <c r="E341" s="92">
        <f>[1]USVOJENE_VREDNOSTI!F230</f>
        <v>367</v>
      </c>
      <c r="F341" s="92">
        <f>[1]USVOJENE_VREDNOSTI!G230</f>
        <v>2613.1</v>
      </c>
      <c r="G341" s="92" t="str">
        <f>[1]USVOJENE_VREDNOSTI!H230</f>
        <v>Пиротска</v>
      </c>
    </row>
    <row r="342" spans="1:7">
      <c r="A342" s="92">
        <f>[1]USVOJENE_VREDNOSTI!B231</f>
        <v>11</v>
      </c>
      <c r="B342" s="92" t="str">
        <f>[1]USVOJENE_VREDNOSTI!C231</f>
        <v>Бела Црква</v>
      </c>
      <c r="C342" s="92">
        <f>[1]USVOJENE_VREDNOSTI!D231</f>
        <v>78</v>
      </c>
      <c r="D342" s="92" t="str">
        <f>[1]USVOJENE_VREDNOSTI!E231</f>
        <v>Вршац</v>
      </c>
      <c r="E342" s="92">
        <f>[1]USVOJENE_VREDNOSTI!F231</f>
        <v>93</v>
      </c>
      <c r="F342" s="92">
        <f>[1]USVOJENE_VREDNOSTI!G231</f>
        <v>2521</v>
      </c>
      <c r="G342" s="92" t="str">
        <f>[1]USVOJENE_VREDNOSTI!H231</f>
        <v>Јужнобанатска</v>
      </c>
    </row>
    <row r="343" spans="1:7">
      <c r="A343" s="92">
        <f>[1]USVOJENE_VREDNOSTI!B232</f>
        <v>111</v>
      </c>
      <c r="B343" s="209" t="str">
        <f>[1]USVOJENE_VREDNOSTI!C232</f>
        <v>Беочин</v>
      </c>
      <c r="C343" s="92">
        <f>[1]USVOJENE_VREDNOSTI!D232</f>
        <v>88</v>
      </c>
      <c r="D343" s="92" t="str">
        <f>[1]USVOJENE_VREDNOSTI!E232</f>
        <v>Нови Сад</v>
      </c>
      <c r="E343" s="92">
        <f>[1]USVOJENE_VREDNOSTI!F232</f>
        <v>80</v>
      </c>
      <c r="F343" s="92">
        <f>[1]USVOJENE_VREDNOSTI!G232</f>
        <v>2604.1999999999998</v>
      </c>
      <c r="G343" s="92" t="str">
        <f>[1]USVOJENE_VREDNOSTI!H232</f>
        <v>Јужнобачка</v>
      </c>
    </row>
    <row r="344" spans="1:7">
      <c r="A344" s="92">
        <f>[1]USVOJENE_VREDNOSTI!B233</f>
        <v>110</v>
      </c>
      <c r="B344" s="209" t="str">
        <f>[1]USVOJENE_VREDNOSTI!C233</f>
        <v>Бечеј</v>
      </c>
      <c r="C344" s="92">
        <f>[1]USVOJENE_VREDNOSTI!D233</f>
        <v>82</v>
      </c>
      <c r="D344" s="92" t="str">
        <f>[1]USVOJENE_VREDNOSTI!E233</f>
        <v>Нови Сад</v>
      </c>
      <c r="E344" s="92">
        <f>[1]USVOJENE_VREDNOSTI!F233</f>
        <v>80</v>
      </c>
      <c r="F344" s="92">
        <f>[1]USVOJENE_VREDNOSTI!G233</f>
        <v>2604.1999999999998</v>
      </c>
      <c r="G344" s="92" t="str">
        <f>[1]USVOJENE_VREDNOSTI!H233</f>
        <v>Јужнобачка</v>
      </c>
    </row>
    <row r="345" spans="1:7">
      <c r="A345" s="92">
        <f>[1]USVOJENE_VREDNOSTI!B234</f>
        <v>53</v>
      </c>
      <c r="B345" s="209" t="str">
        <f>[1]USVOJENE_VREDNOSTI!C234</f>
        <v>Блаце</v>
      </c>
      <c r="C345" s="92">
        <f>[1]USVOJENE_VREDNOSTI!D234</f>
        <v>389</v>
      </c>
      <c r="D345" s="92" t="str">
        <f>[1]USVOJENE_VREDNOSTI!E234</f>
        <v>Куршумлија</v>
      </c>
      <c r="E345" s="92">
        <f>[1]USVOJENE_VREDNOSTI!F234</f>
        <v>366</v>
      </c>
      <c r="F345" s="92">
        <f>[1]USVOJENE_VREDNOSTI!G234</f>
        <v>2823.3</v>
      </c>
      <c r="G345" s="92" t="str">
        <f>[1]USVOJENE_VREDNOSTI!H234</f>
        <v>Топличка</v>
      </c>
    </row>
    <row r="346" spans="1:7">
      <c r="A346" s="92">
        <f>[1]USVOJENE_VREDNOSTI!B235</f>
        <v>115</v>
      </c>
      <c r="B346" s="209" t="str">
        <f>[1]USVOJENE_VREDNOSTI!C235</f>
        <v>Богатић</v>
      </c>
      <c r="C346" s="92">
        <f>[1]USVOJENE_VREDNOSTI!D235</f>
        <v>81</v>
      </c>
      <c r="D346" s="92" t="str">
        <f>[1]USVOJENE_VREDNOSTI!E235</f>
        <v>Сремска Митровица</v>
      </c>
      <c r="E346" s="92">
        <f>[1]USVOJENE_VREDNOSTI!F235</f>
        <v>82</v>
      </c>
      <c r="F346" s="92">
        <f>[1]USVOJENE_VREDNOSTI!G235</f>
        <v>2628.9</v>
      </c>
      <c r="G346" s="92" t="str">
        <f>[1]USVOJENE_VREDNOSTI!H235</f>
        <v>Мачванска</v>
      </c>
    </row>
    <row r="347" spans="1:7">
      <c r="A347" s="92">
        <f>[1]USVOJENE_VREDNOSTI!B236</f>
        <v>13</v>
      </c>
      <c r="B347" s="209" t="str">
        <f>[1]USVOJENE_VREDNOSTI!C236</f>
        <v>Бојник</v>
      </c>
      <c r="C347" s="92">
        <f>[1]USVOJENE_VREDNOSTI!D236</f>
        <v>242</v>
      </c>
      <c r="D347" s="92" t="str">
        <f>[1]USVOJENE_VREDNOSTI!E236</f>
        <v>Лесковац</v>
      </c>
      <c r="E347" s="92">
        <f>[1]USVOJENE_VREDNOSTI!F236</f>
        <v>228</v>
      </c>
      <c r="F347" s="92">
        <f>[1]USVOJENE_VREDNOSTI!G236</f>
        <v>2681.2</v>
      </c>
      <c r="G347" s="92" t="str">
        <f>[1]USVOJENE_VREDNOSTI!H236</f>
        <v>Јабланичка</v>
      </c>
    </row>
    <row r="348" spans="1:7">
      <c r="A348" s="92">
        <f>[1]USVOJENE_VREDNOSTI!B237</f>
        <v>94</v>
      </c>
      <c r="B348" s="209" t="str">
        <f>[1]USVOJENE_VREDNOSTI!C237</f>
        <v>Бољевац</v>
      </c>
      <c r="C348" s="92">
        <f>[1]USVOJENE_VREDNOSTI!D237</f>
        <v>263</v>
      </c>
      <c r="D348" s="92" t="str">
        <f>[1]USVOJENE_VREDNOSTI!E237</f>
        <v>Зајечар</v>
      </c>
      <c r="E348" s="92">
        <f>[1]USVOJENE_VREDNOSTI!F237</f>
        <v>134</v>
      </c>
      <c r="F348" s="92">
        <f>[1]USVOJENE_VREDNOSTI!G237</f>
        <v>2792.3</v>
      </c>
      <c r="G348" s="92" t="str">
        <f>[1]USVOJENE_VREDNOSTI!H237</f>
        <v>Зајечарска</v>
      </c>
    </row>
    <row r="349" spans="1:7">
      <c r="A349" s="92">
        <f>[1]USVOJENE_VREDNOSTI!B238</f>
        <v>89</v>
      </c>
      <c r="B349" s="209" t="str">
        <f>[1]USVOJENE_VREDNOSTI!C238</f>
        <v>Бор</v>
      </c>
      <c r="C349" s="92">
        <f>[1]USVOJENE_VREDNOSTI!D238</f>
        <v>381</v>
      </c>
      <c r="D349" s="92" t="str">
        <f>[1]USVOJENE_VREDNOSTI!E238</f>
        <v>Зајечар</v>
      </c>
      <c r="E349" s="92">
        <f>[1]USVOJENE_VREDNOSTI!F238</f>
        <v>134</v>
      </c>
      <c r="F349" s="92">
        <f>[1]USVOJENE_VREDNOSTI!G238</f>
        <v>2792.3</v>
      </c>
      <c r="G349" s="92" t="str">
        <f>[1]USVOJENE_VREDNOSTI!H238</f>
        <v>Борска</v>
      </c>
    </row>
    <row r="350" spans="1:7">
      <c r="A350" s="92">
        <f>[1]USVOJENE_VREDNOSTI!B239</f>
        <v>103</v>
      </c>
      <c r="B350" s="209" t="str">
        <f>[1]USVOJENE_VREDNOSTI!C239</f>
        <v>Босилеград</v>
      </c>
      <c r="C350" s="92">
        <f>[1]USVOJENE_VREDNOSTI!D239</f>
        <v>696</v>
      </c>
      <c r="D350" s="92" t="str">
        <f>[1]USVOJENE_VREDNOSTI!E239</f>
        <v>Врање</v>
      </c>
      <c r="E350" s="92">
        <f>[1]USVOJENE_VREDNOSTI!F239</f>
        <v>487</v>
      </c>
      <c r="F350" s="92">
        <f>[1]USVOJENE_VREDNOSTI!G239</f>
        <v>2662.9</v>
      </c>
      <c r="G350" s="92" t="str">
        <f>[1]USVOJENE_VREDNOSTI!H239</f>
        <v>Пчињска</v>
      </c>
    </row>
    <row r="351" spans="1:7">
      <c r="A351" s="92">
        <f>[1]USVOJENE_VREDNOSTI!B240</f>
        <v>60</v>
      </c>
      <c r="B351" s="209" t="str">
        <f>[1]USVOJENE_VREDNOSTI!C240</f>
        <v>Брус</v>
      </c>
      <c r="C351" s="92">
        <f>[1]USVOJENE_VREDNOSTI!D240</f>
        <v>436</v>
      </c>
      <c r="D351" s="92" t="str">
        <f>[1]USVOJENE_VREDNOSTI!E240</f>
        <v>Јошаничка Бања</v>
      </c>
      <c r="E351" s="175">
        <f>[1]USVOJENE_VREDNOSTI!F240</f>
        <v>555</v>
      </c>
      <c r="F351" s="92">
        <f>[1]USVOJENE_VREDNOSTI!G240</f>
        <v>3008.5</v>
      </c>
      <c r="G351" s="92" t="str">
        <f>[1]USVOJENE_VREDNOSTI!H240</f>
        <v>Расинска</v>
      </c>
    </row>
    <row r="352" spans="1:7">
      <c r="A352" s="92">
        <f>[1]USVOJENE_VREDNOSTI!B241</f>
        <v>128</v>
      </c>
      <c r="B352" s="209" t="str">
        <f>[1]USVOJENE_VREDNOSTI!C241</f>
        <v>Бујановац</v>
      </c>
      <c r="C352" s="92">
        <f>[1]USVOJENE_VREDNOSTI!D241</f>
        <v>384</v>
      </c>
      <c r="D352" s="92" t="str">
        <f>[1]USVOJENE_VREDNOSTI!E241</f>
        <v>Врање</v>
      </c>
      <c r="E352" s="92">
        <f>[1]USVOJENE_VREDNOSTI!F241</f>
        <v>487</v>
      </c>
      <c r="F352" s="92">
        <f>[1]USVOJENE_VREDNOSTI!G241</f>
        <v>2662.9</v>
      </c>
      <c r="G352" s="92" t="str">
        <f>[1]USVOJENE_VREDNOSTI!H241</f>
        <v>Пчињска</v>
      </c>
    </row>
    <row r="353" spans="1:7">
      <c r="A353" s="92">
        <f>[1]USVOJENE_VREDNOSTI!B242</f>
        <v>48</v>
      </c>
      <c r="B353" s="209" t="str">
        <f>[1]USVOJENE_VREDNOSTI!C242</f>
        <v>Ваљево</v>
      </c>
      <c r="C353" s="92">
        <f>[1]USVOJENE_VREDNOSTI!D242</f>
        <v>199</v>
      </c>
      <c r="D353" s="92" t="str">
        <f>[1]USVOJENE_VREDNOSTI!E242</f>
        <v>Ваљево</v>
      </c>
      <c r="E353" s="92">
        <f>[1]USVOJENE_VREDNOSTI!F242</f>
        <v>199</v>
      </c>
      <c r="F353" s="92">
        <f>[1]USVOJENE_VREDNOSTI!G242</f>
        <v>2557.6</v>
      </c>
      <c r="G353" s="92" t="str">
        <f>[1]USVOJENE_VREDNOSTI!H242</f>
        <v>Колубарска</v>
      </c>
    </row>
    <row r="354" spans="1:7">
      <c r="A354" s="92">
        <f>[1]USVOJENE_VREDNOSTI!B243</f>
        <v>112</v>
      </c>
      <c r="B354" s="209" t="str">
        <f>[1]USVOJENE_VREDNOSTI!C243</f>
        <v>Варварин</v>
      </c>
      <c r="C354" s="92">
        <f>[1]USVOJENE_VREDNOSTI!D243</f>
        <v>145</v>
      </c>
      <c r="D354" s="92" t="str">
        <f>[1]USVOJENE_VREDNOSTI!E243</f>
        <v>Крагујевац</v>
      </c>
      <c r="E354" s="92">
        <f>[1]USVOJENE_VREDNOSTI!F243</f>
        <v>173</v>
      </c>
      <c r="F354" s="92">
        <f>[1]USVOJENE_VREDNOSTI!G243</f>
        <v>2530.9</v>
      </c>
      <c r="G354" s="92" t="str">
        <f>[1]USVOJENE_VREDNOSTI!H243</f>
        <v>Расинска</v>
      </c>
    </row>
    <row r="355" spans="1:7">
      <c r="A355" s="92">
        <f>[1]USVOJENE_VREDNOSTI!B244</f>
        <v>101</v>
      </c>
      <c r="B355" s="209" t="str">
        <f>[1]USVOJENE_VREDNOSTI!C244</f>
        <v>Велико Градиште</v>
      </c>
      <c r="C355" s="92">
        <f>[1]USVOJENE_VREDNOSTI!D244</f>
        <v>72</v>
      </c>
      <c r="D355" s="92" t="str">
        <f>[1]USVOJENE_VREDNOSTI!E244</f>
        <v>Велико Градиште</v>
      </c>
      <c r="E355" s="92">
        <f>[1]USVOJENE_VREDNOSTI!F244</f>
        <v>72</v>
      </c>
      <c r="F355" s="92">
        <f>[1]USVOJENE_VREDNOSTI!G244</f>
        <v>2629.5</v>
      </c>
      <c r="G355" s="92" t="str">
        <f>[1]USVOJENE_VREDNOSTI!H244</f>
        <v>Браничевска</v>
      </c>
    </row>
    <row r="356" spans="1:7">
      <c r="A356" s="92">
        <f>[1]USVOJENE_VREDNOSTI!B245</f>
        <v>22</v>
      </c>
      <c r="B356" s="209" t="str">
        <f>[1]USVOJENE_VREDNOSTI!C245</f>
        <v>Владимирци</v>
      </c>
      <c r="C356" s="92">
        <f>[1]USVOJENE_VREDNOSTI!D245</f>
        <v>103</v>
      </c>
      <c r="D356" s="92" t="str">
        <f>[1]USVOJENE_VREDNOSTI!E245</f>
        <v>Лозница</v>
      </c>
      <c r="E356" s="92">
        <f>[1]USVOJENE_VREDNOSTI!F245</f>
        <v>121</v>
      </c>
      <c r="F356" s="92">
        <f>[1]USVOJENE_VREDNOSTI!G245</f>
        <v>2478.6999999999998</v>
      </c>
      <c r="G356" s="92" t="str">
        <f>[1]USVOJENE_VREDNOSTI!H245</f>
        <v>Мачванска</v>
      </c>
    </row>
    <row r="357" spans="1:7">
      <c r="A357" s="92">
        <f>[1]USVOJENE_VREDNOSTI!B246</f>
        <v>70</v>
      </c>
      <c r="B357" s="209" t="str">
        <f>[1]USVOJENE_VREDNOSTI!C246</f>
        <v>Владичин Хан</v>
      </c>
      <c r="C357" s="92">
        <f>[1]USVOJENE_VREDNOSTI!D246</f>
        <v>386</v>
      </c>
      <c r="D357" s="92" t="str">
        <f>[1]USVOJENE_VREDNOSTI!E246</f>
        <v>Врање</v>
      </c>
      <c r="E357" s="92">
        <f>[1]USVOJENE_VREDNOSTI!F246</f>
        <v>487</v>
      </c>
      <c r="F357" s="92">
        <f>[1]USVOJENE_VREDNOSTI!G246</f>
        <v>2662.9</v>
      </c>
      <c r="G357" s="92" t="str">
        <f>[1]USVOJENE_VREDNOSTI!H246</f>
        <v>Пчињска</v>
      </c>
    </row>
    <row r="358" spans="1:7">
      <c r="A358" s="92">
        <f>[1]USVOJENE_VREDNOSTI!B247</f>
        <v>56</v>
      </c>
      <c r="B358" s="209" t="str">
        <f>[1]USVOJENE_VREDNOSTI!C247</f>
        <v>Власотинце</v>
      </c>
      <c r="C358" s="92">
        <f>[1]USVOJENE_VREDNOSTI!D247</f>
        <v>234</v>
      </c>
      <c r="D358" s="92" t="str">
        <f>[1]USVOJENE_VREDNOSTI!E247</f>
        <v>Лесковац</v>
      </c>
      <c r="E358" s="92">
        <f>[1]USVOJENE_VREDNOSTI!F247</f>
        <v>228</v>
      </c>
      <c r="F358" s="92">
        <f>[1]USVOJENE_VREDNOSTI!G247</f>
        <v>2681.2</v>
      </c>
      <c r="G358" s="92" t="str">
        <f>[1]USVOJENE_VREDNOSTI!H247</f>
        <v>Јабланичка</v>
      </c>
    </row>
    <row r="359" spans="1:7">
      <c r="A359" s="92">
        <f>[1]USVOJENE_VREDNOSTI!B248</f>
        <v>106</v>
      </c>
      <c r="B359" s="209" t="str">
        <f>[1]USVOJENE_VREDNOSTI!C248</f>
        <v>Вождовац</v>
      </c>
      <c r="C359" s="92">
        <f>[1]USVOJENE_VREDNOSTI!D248</f>
        <v>250</v>
      </c>
      <c r="D359" s="92" t="str">
        <f>[1]USVOJENE_VREDNOSTI!E248</f>
        <v>Београд</v>
      </c>
      <c r="E359" s="175">
        <f>[1]USVOJENE_VREDNOSTI!F248</f>
        <v>117</v>
      </c>
      <c r="F359" s="92">
        <f>[1]USVOJENE_VREDNOSTI!G248</f>
        <v>2299</v>
      </c>
      <c r="G359" s="92" t="str">
        <f>[1]USVOJENE_VREDNOSTI!H248</f>
        <v>Београдски</v>
      </c>
    </row>
    <row r="360" spans="1:7">
      <c r="A360" s="92">
        <f>[1]USVOJENE_VREDNOSTI!B249</f>
        <v>109</v>
      </c>
      <c r="B360" s="209" t="str">
        <f>[1]USVOJENE_VREDNOSTI!C249</f>
        <v>Врање</v>
      </c>
      <c r="C360" s="92">
        <f>[1]USVOJENE_VREDNOSTI!D249</f>
        <v>487</v>
      </c>
      <c r="D360" s="92" t="str">
        <f>[1]USVOJENE_VREDNOSTI!E249</f>
        <v>Врање</v>
      </c>
      <c r="E360" s="92">
        <f>[1]USVOJENE_VREDNOSTI!F249</f>
        <v>487</v>
      </c>
      <c r="F360" s="92">
        <f>[1]USVOJENE_VREDNOSTI!G249</f>
        <v>2662.9</v>
      </c>
      <c r="G360" s="92" t="str">
        <f>[1]USVOJENE_VREDNOSTI!H249</f>
        <v>Пчињска</v>
      </c>
    </row>
    <row r="361" spans="1:7">
      <c r="A361" s="92">
        <f>[1]USVOJENE_VREDNOSTI!B250</f>
        <v>130</v>
      </c>
      <c r="B361" s="209" t="str">
        <f>[1]USVOJENE_VREDNOSTI!C250</f>
        <v>Врбас</v>
      </c>
      <c r="C361" s="92">
        <f>[1]USVOJENE_VREDNOSTI!D250</f>
        <v>85</v>
      </c>
      <c r="D361" s="92" t="str">
        <f>[1]USVOJENE_VREDNOSTI!E250</f>
        <v>Нови Сад</v>
      </c>
      <c r="E361" s="92">
        <f>[1]USVOJENE_VREDNOSTI!F250</f>
        <v>80</v>
      </c>
      <c r="F361" s="92">
        <f>[1]USVOJENE_VREDNOSTI!G250</f>
        <v>2604.1999999999998</v>
      </c>
      <c r="G361" s="92" t="str">
        <f>[1]USVOJENE_VREDNOSTI!H250</f>
        <v>Јужнобачка</v>
      </c>
    </row>
    <row r="362" spans="1:7">
      <c r="A362" s="92">
        <f>[1]USVOJENE_VREDNOSTI!B251</f>
        <v>57</v>
      </c>
      <c r="B362" s="209" t="str">
        <f>[1]USVOJENE_VREDNOSTI!C251</f>
        <v>Врњачка Бања</v>
      </c>
      <c r="C362" s="92">
        <f>[1]USVOJENE_VREDNOSTI!D251</f>
        <v>217</v>
      </c>
      <c r="D362" s="92" t="str">
        <f>[1]USVOJENE_VREDNOSTI!E251</f>
        <v>Краљево</v>
      </c>
      <c r="E362" s="92">
        <f>[1]USVOJENE_VREDNOSTI!F251</f>
        <v>192</v>
      </c>
      <c r="F362" s="92">
        <f>[1]USVOJENE_VREDNOSTI!G251</f>
        <v>2579.4</v>
      </c>
      <c r="G362" s="92" t="str">
        <f>[1]USVOJENE_VREDNOSTI!H251</f>
        <v>Рашка</v>
      </c>
    </row>
    <row r="363" spans="1:7">
      <c r="A363" s="92">
        <f>[1]USVOJENE_VREDNOSTI!B252</f>
        <v>85</v>
      </c>
      <c r="B363" s="209" t="str">
        <f>[1]USVOJENE_VREDNOSTI!C252</f>
        <v>Вршац</v>
      </c>
      <c r="C363" s="92">
        <f>[1]USVOJENE_VREDNOSTI!D252</f>
        <v>93</v>
      </c>
      <c r="D363" s="92" t="str">
        <f>[1]USVOJENE_VREDNOSTI!E252</f>
        <v>Вршац</v>
      </c>
      <c r="E363" s="92">
        <f>[1]USVOJENE_VREDNOSTI!F252</f>
        <v>93</v>
      </c>
      <c r="F363" s="92">
        <f>[1]USVOJENE_VREDNOSTI!G252</f>
        <v>2521</v>
      </c>
      <c r="G363" s="92" t="str">
        <f>[1]USVOJENE_VREDNOSTI!H252</f>
        <v>Јужнобанатска</v>
      </c>
    </row>
    <row r="364" spans="1:7">
      <c r="A364" s="92">
        <f>[1]USVOJENE_VREDNOSTI!B253</f>
        <v>40</v>
      </c>
      <c r="B364" s="209" t="str">
        <f>[1]USVOJENE_VREDNOSTI!C253</f>
        <v>Голубац</v>
      </c>
      <c r="C364" s="92">
        <f>[1]USVOJENE_VREDNOSTI!D253</f>
        <v>72</v>
      </c>
      <c r="D364" s="92" t="str">
        <f>[1]USVOJENE_VREDNOSTI!E253</f>
        <v>Велико Градиште</v>
      </c>
      <c r="E364" s="92">
        <f>[1]USVOJENE_VREDNOSTI!F253</f>
        <v>72</v>
      </c>
      <c r="F364" s="92">
        <f>[1]USVOJENE_VREDNOSTI!G253</f>
        <v>2629.5</v>
      </c>
      <c r="G364" s="92" t="str">
        <f>[1]USVOJENE_VREDNOSTI!H253</f>
        <v>Браничевска</v>
      </c>
    </row>
    <row r="365" spans="1:7">
      <c r="A365" s="92">
        <f>[1]USVOJENE_VREDNOSTI!B254</f>
        <v>34</v>
      </c>
      <c r="B365" s="209" t="str">
        <f>[1]USVOJENE_VREDNOSTI!C254</f>
        <v>Горњи Милановац</v>
      </c>
      <c r="C365" s="92">
        <f>[1]USVOJENE_VREDNOSTI!D254</f>
        <v>310</v>
      </c>
      <c r="D365" s="92" t="str">
        <f>[1]USVOJENE_VREDNOSTI!E254</f>
        <v>Пожега</v>
      </c>
      <c r="E365" s="92">
        <f>[1]USVOJENE_VREDNOSTI!F254</f>
        <v>315</v>
      </c>
      <c r="F365" s="92">
        <f>[1]USVOJENE_VREDNOSTI!G254</f>
        <v>3062</v>
      </c>
      <c r="G365" s="92" t="str">
        <f>[1]USVOJENE_VREDNOSTI!H254</f>
        <v>Моравичка</v>
      </c>
    </row>
    <row r="366" spans="1:7">
      <c r="A366" s="92">
        <f>[1]USVOJENE_VREDNOSTI!B255</f>
        <v>105</v>
      </c>
      <c r="B366" s="209" t="str">
        <f>[1]USVOJENE_VREDNOSTI!C255</f>
        <v>Гроцка</v>
      </c>
      <c r="C366" s="92">
        <f>[1]USVOJENE_VREDNOSTI!D255</f>
        <v>71</v>
      </c>
      <c r="D366" s="92" t="str">
        <f>[1]USVOJENE_VREDNOSTI!E255</f>
        <v>Београд</v>
      </c>
      <c r="E366" s="175">
        <f>[1]USVOJENE_VREDNOSTI!F255</f>
        <v>117</v>
      </c>
      <c r="F366" s="92">
        <f>[1]USVOJENE_VREDNOSTI!G255</f>
        <v>2299</v>
      </c>
      <c r="G366" s="92" t="str">
        <f>[1]USVOJENE_VREDNOSTI!H255</f>
        <v>Београдски</v>
      </c>
    </row>
    <row r="367" spans="1:7">
      <c r="A367" s="92">
        <f>[1]USVOJENE_VREDNOSTI!B256</f>
        <v>42</v>
      </c>
      <c r="B367" s="209" t="str">
        <f>[1]USVOJENE_VREDNOSTI!C256</f>
        <v>Деспотовац</v>
      </c>
      <c r="C367" s="92">
        <f>[1]USVOJENE_VREDNOSTI!D256</f>
        <v>189</v>
      </c>
      <c r="D367" s="92" t="str">
        <f>[1]USVOJENE_VREDNOSTI!E256</f>
        <v>Ћуприја</v>
      </c>
      <c r="E367" s="92">
        <f>[1]USVOJENE_VREDNOSTI!F256</f>
        <v>124</v>
      </c>
      <c r="F367" s="92">
        <f>[1]USVOJENE_VREDNOSTI!G256</f>
        <v>2666.2</v>
      </c>
      <c r="G367" s="92" t="str">
        <f>[1]USVOJENE_VREDNOSTI!H256</f>
        <v>Поморавска</v>
      </c>
    </row>
    <row r="368" spans="1:7">
      <c r="A368" s="92">
        <f>[1]USVOJENE_VREDNOSTI!B257</f>
        <v>2</v>
      </c>
      <c r="B368" s="92" t="str">
        <f>[1]USVOJENE_VREDNOSTI!C257</f>
        <v>Димитровград</v>
      </c>
      <c r="C368" s="92">
        <f>[1]USVOJENE_VREDNOSTI!D257</f>
        <v>463</v>
      </c>
      <c r="D368" s="92" t="str">
        <f>[1]USVOJENE_VREDNOSTI!E257</f>
        <v>Димитровград</v>
      </c>
      <c r="E368" s="92">
        <f>[1]USVOJENE_VREDNOSTI!F257</f>
        <v>463</v>
      </c>
      <c r="F368" s="92">
        <f>[1]USVOJENE_VREDNOSTI!G257</f>
        <v>2957.7</v>
      </c>
      <c r="G368" s="92" t="str">
        <f>[1]USVOJENE_VREDNOSTI!H257</f>
        <v>Пиротска</v>
      </c>
    </row>
    <row r="369" spans="1:7">
      <c r="A369" s="92">
        <f>[1]USVOJENE_VREDNOSTI!B258</f>
        <v>93</v>
      </c>
      <c r="B369" s="209" t="str">
        <f>[1]USVOJENE_VREDNOSTI!C258</f>
        <v>Жабаљ</v>
      </c>
      <c r="C369" s="92">
        <f>[1]USVOJENE_VREDNOSTI!D258</f>
        <v>72</v>
      </c>
      <c r="D369" s="92" t="str">
        <f>[1]USVOJENE_VREDNOSTI!E258</f>
        <v>Нови Сад</v>
      </c>
      <c r="E369" s="92">
        <f>[1]USVOJENE_VREDNOSTI!F258</f>
        <v>80</v>
      </c>
      <c r="F369" s="92">
        <f>[1]USVOJENE_VREDNOSTI!G258</f>
        <v>2604.1999999999998</v>
      </c>
      <c r="G369" s="92" t="str">
        <f>[1]USVOJENE_VREDNOSTI!H258</f>
        <v>Јужнобачка</v>
      </c>
    </row>
    <row r="370" spans="1:7">
      <c r="A370" s="92">
        <f>[1]USVOJENE_VREDNOSTI!B259</f>
        <v>55</v>
      </c>
      <c r="B370" s="209" t="str">
        <f>[1]USVOJENE_VREDNOSTI!C259</f>
        <v>Жабари</v>
      </c>
      <c r="C370" s="92">
        <f>[1]USVOJENE_VREDNOSTI!D259</f>
        <v>186</v>
      </c>
      <c r="D370" s="92" t="str">
        <f>[1]USVOJENE_VREDNOSTI!E259</f>
        <v>Смедеревска Паланка</v>
      </c>
      <c r="E370" s="92">
        <f>[1]USVOJENE_VREDNOSTI!F259</f>
        <v>125</v>
      </c>
      <c r="F370" s="92">
        <f>[1]USVOJENE_VREDNOSTI!G259</f>
        <v>2554.6</v>
      </c>
      <c r="G370" s="92" t="str">
        <f>[1]USVOJENE_VREDNOSTI!H259</f>
        <v>Браничевска</v>
      </c>
    </row>
    <row r="371" spans="1:7">
      <c r="A371" s="92">
        <f>[1]USVOJENE_VREDNOSTI!B260</f>
        <v>15</v>
      </c>
      <c r="B371" s="209" t="str">
        <f>[1]USVOJENE_VREDNOSTI!C260</f>
        <v>Жагубица</v>
      </c>
      <c r="C371" s="92">
        <f>[1]USVOJENE_VREDNOSTI!D260</f>
        <v>314</v>
      </c>
      <c r="D371" s="92" t="str">
        <f>[1]USVOJENE_VREDNOSTI!E260</f>
        <v>Црни Врх</v>
      </c>
      <c r="E371" s="175">
        <f>[1]USVOJENE_VREDNOSTI!F260</f>
        <v>1033</v>
      </c>
      <c r="F371" s="92">
        <f>[1]USVOJENE_VREDNOSTI!G260</f>
        <v>4049</v>
      </c>
      <c r="G371" s="92" t="str">
        <f>[1]USVOJENE_VREDNOSTI!H260</f>
        <v>Браничевска</v>
      </c>
    </row>
    <row r="372" spans="1:7">
      <c r="A372" s="92">
        <f>[1]USVOJENE_VREDNOSTI!B261</f>
        <v>41</v>
      </c>
      <c r="B372" s="209" t="str">
        <f>[1]USVOJENE_VREDNOSTI!C261</f>
        <v>Житиште</v>
      </c>
      <c r="C372" s="92">
        <f>[1]USVOJENE_VREDNOSTI!D261</f>
        <v>78</v>
      </c>
      <c r="D372" s="92" t="str">
        <f>[1]USVOJENE_VREDNOSTI!E261</f>
        <v>Зрењанин</v>
      </c>
      <c r="E372" s="92">
        <f>[1]USVOJENE_VREDNOSTI!F261</f>
        <v>76</v>
      </c>
      <c r="F372" s="92">
        <f>[1]USVOJENE_VREDNOSTI!G261</f>
        <v>2589.6999999999998</v>
      </c>
      <c r="G372" s="92" t="str">
        <f>[1]USVOJENE_VREDNOSTI!H261</f>
        <v>Средњeбанатска</v>
      </c>
    </row>
    <row r="373" spans="1:7">
      <c r="A373" s="92">
        <f>[1]USVOJENE_VREDNOSTI!B262</f>
        <v>113</v>
      </c>
      <c r="B373" s="209" t="str">
        <f>[1]USVOJENE_VREDNOSTI!C262</f>
        <v>Зајечар</v>
      </c>
      <c r="C373" s="92">
        <f>[1]USVOJENE_VREDNOSTI!D262</f>
        <v>134</v>
      </c>
      <c r="D373" s="92" t="str">
        <f>[1]USVOJENE_VREDNOSTI!E262</f>
        <v>Зајечар</v>
      </c>
      <c r="E373" s="92">
        <f>[1]USVOJENE_VREDNOSTI!F262</f>
        <v>134</v>
      </c>
      <c r="F373" s="92">
        <f>[1]USVOJENE_VREDNOSTI!G262</f>
        <v>2792.3</v>
      </c>
      <c r="G373" s="92" t="str">
        <f>[1]USVOJENE_VREDNOSTI!H262</f>
        <v>Зајечарска</v>
      </c>
    </row>
    <row r="374" spans="1:7">
      <c r="A374" s="92">
        <f>[1]USVOJENE_VREDNOSTI!B263</f>
        <v>69</v>
      </c>
      <c r="B374" s="209" t="str">
        <f>[1]USVOJENE_VREDNOSTI!C263</f>
        <v>Звездара</v>
      </c>
      <c r="C374" s="92">
        <f>[1]USVOJENE_VREDNOSTI!D263</f>
        <v>270</v>
      </c>
      <c r="D374" s="92" t="str">
        <f>[1]USVOJENE_VREDNOSTI!E263</f>
        <v>Београд</v>
      </c>
      <c r="E374" s="175">
        <f>[1]USVOJENE_VREDNOSTI!F263</f>
        <v>117</v>
      </c>
      <c r="F374" s="92">
        <f>[1]USVOJENE_VREDNOSTI!G263</f>
        <v>2299</v>
      </c>
      <c r="G374" s="92" t="str">
        <f>[1]USVOJENE_VREDNOSTI!H263</f>
        <v>Београдски</v>
      </c>
    </row>
    <row r="375" spans="1:7">
      <c r="A375" s="92">
        <f>[1]USVOJENE_VREDNOSTI!B264</f>
        <v>37</v>
      </c>
      <c r="B375" s="209" t="str">
        <f>[1]USVOJENE_VREDNOSTI!C264</f>
        <v>Земун</v>
      </c>
      <c r="C375" s="92">
        <f>[1]USVOJENE_VREDNOSTI!D264</f>
        <v>82</v>
      </c>
      <c r="D375" s="92" t="str">
        <f>[1]USVOJENE_VREDNOSTI!E264</f>
        <v>Београд</v>
      </c>
      <c r="E375" s="175">
        <f>[1]USVOJENE_VREDNOSTI!F264</f>
        <v>117</v>
      </c>
      <c r="F375" s="92">
        <f>[1]USVOJENE_VREDNOSTI!G264</f>
        <v>2299</v>
      </c>
      <c r="G375" s="92" t="str">
        <f>[1]USVOJENE_VREDNOSTI!H264</f>
        <v>Београдски</v>
      </c>
    </row>
    <row r="376" spans="1:7">
      <c r="A376" s="92">
        <f>[1]USVOJENE_VREDNOSTI!B265</f>
        <v>87</v>
      </c>
      <c r="B376" s="209" t="str">
        <f>[1]USVOJENE_VREDNOSTI!C265</f>
        <v>Зрењанин</v>
      </c>
      <c r="C376" s="92">
        <f>[1]USVOJENE_VREDNOSTI!D265</f>
        <v>76</v>
      </c>
      <c r="D376" s="92" t="str">
        <f>[1]USVOJENE_VREDNOSTI!E265</f>
        <v>Зрењанин</v>
      </c>
      <c r="E376" s="92">
        <f>[1]USVOJENE_VREDNOSTI!F265</f>
        <v>76</v>
      </c>
      <c r="F376" s="92">
        <f>[1]USVOJENE_VREDNOSTI!G265</f>
        <v>2589.6999999999998</v>
      </c>
      <c r="G376" s="92" t="str">
        <f>[1]USVOJENE_VREDNOSTI!H265</f>
        <v>Средњeбанатска</v>
      </c>
    </row>
    <row r="377" spans="1:7">
      <c r="A377" s="92">
        <f>[1]USVOJENE_VREDNOSTI!B266</f>
        <v>68</v>
      </c>
      <c r="B377" s="209" t="str">
        <f>[1]USVOJENE_VREDNOSTI!C266</f>
        <v>Ивањица</v>
      </c>
      <c r="C377" s="92">
        <f>[1]USVOJENE_VREDNOSTI!D266</f>
        <v>468</v>
      </c>
      <c r="D377" s="92" t="str">
        <f>[1]USVOJENE_VREDNOSTI!E266</f>
        <v>Краљево</v>
      </c>
      <c r="E377" s="92">
        <f>[1]USVOJENE_VREDNOSTI!F266</f>
        <v>192</v>
      </c>
      <c r="F377" s="92">
        <f>[1]USVOJENE_VREDNOSTI!G266</f>
        <v>2579.4</v>
      </c>
      <c r="G377" s="92" t="str">
        <f>[1]USVOJENE_VREDNOSTI!H266</f>
        <v>Моравичка</v>
      </c>
    </row>
    <row r="378" spans="1:7">
      <c r="A378" s="92">
        <f>[1]USVOJENE_VREDNOSTI!B267</f>
        <v>125</v>
      </c>
      <c r="B378" s="209" t="str">
        <f>[1]USVOJENE_VREDNOSTI!C267</f>
        <v>Инђија</v>
      </c>
      <c r="C378" s="92">
        <f>[1]USVOJENE_VREDNOSTI!D267</f>
        <v>116</v>
      </c>
      <c r="D378" s="92" t="str">
        <f>[1]USVOJENE_VREDNOSTI!E267</f>
        <v>Нови Сад</v>
      </c>
      <c r="E378" s="92">
        <f>[1]USVOJENE_VREDNOSTI!F267</f>
        <v>80</v>
      </c>
      <c r="F378" s="92">
        <f>[1]USVOJENE_VREDNOSTI!G267</f>
        <v>2604.1999999999998</v>
      </c>
      <c r="G378" s="92" t="str">
        <f>[1]USVOJENE_VREDNOSTI!H267</f>
        <v>Сремска</v>
      </c>
    </row>
    <row r="379" spans="1:7">
      <c r="A379" s="92">
        <f>[1]USVOJENE_VREDNOSTI!B268</f>
        <v>102</v>
      </c>
      <c r="B379" s="209" t="str">
        <f>[1]USVOJENE_VREDNOSTI!C268</f>
        <v>Ириг</v>
      </c>
      <c r="C379" s="92">
        <f>[1]USVOJENE_VREDNOSTI!D268</f>
        <v>190</v>
      </c>
      <c r="D379" s="92" t="str">
        <f>[1]USVOJENE_VREDNOSTI!E268</f>
        <v>Сремска Митровица</v>
      </c>
      <c r="E379" s="92">
        <f>[1]USVOJENE_VREDNOSTI!F268</f>
        <v>82</v>
      </c>
      <c r="F379" s="92">
        <f>[1]USVOJENE_VREDNOSTI!G268</f>
        <v>2628.9</v>
      </c>
      <c r="G379" s="92" t="str">
        <f>[1]USVOJENE_VREDNOSTI!H268</f>
        <v>Сремска</v>
      </c>
    </row>
    <row r="380" spans="1:7">
      <c r="A380" s="92">
        <f>[1]USVOJENE_VREDNOSTI!B269</f>
        <v>76</v>
      </c>
      <c r="B380" s="209" t="str">
        <f>[1]USVOJENE_VREDNOSTI!C269</f>
        <v>Кањижа</v>
      </c>
      <c r="C380" s="92">
        <f>[1]USVOJENE_VREDNOSTI!D269</f>
        <v>80</v>
      </c>
      <c r="D380" s="92" t="str">
        <f>[1]USVOJENE_VREDNOSTI!E269</f>
        <v>Палић</v>
      </c>
      <c r="E380" s="175">
        <f>[1]USVOJENE_VREDNOSTI!F269</f>
        <v>102</v>
      </c>
      <c r="F380" s="92">
        <f>[1]USVOJENE_VREDNOSTI!G269</f>
        <v>2779.2</v>
      </c>
      <c r="G380" s="92" t="str">
        <f>[1]USVOJENE_VREDNOSTI!H269</f>
        <v>Севернобанатска</v>
      </c>
    </row>
    <row r="381" spans="1:7">
      <c r="A381" s="92">
        <f>[1]USVOJENE_VREDNOSTI!B270</f>
        <v>100</v>
      </c>
      <c r="B381" s="209" t="str">
        <f>[1]USVOJENE_VREDNOSTI!C270</f>
        <v>Кикинда</v>
      </c>
      <c r="C381" s="92">
        <f>[1]USVOJENE_VREDNOSTI!D270</f>
        <v>78</v>
      </c>
      <c r="D381" s="92" t="str">
        <f>[1]USVOJENE_VREDNOSTI!E270</f>
        <v>Кикинда</v>
      </c>
      <c r="E381" s="92">
        <f>[1]USVOJENE_VREDNOSTI!F270</f>
        <v>78</v>
      </c>
      <c r="F381" s="92">
        <f>[1]USVOJENE_VREDNOSTI!G270</f>
        <v>2644.2</v>
      </c>
      <c r="G381" s="92" t="str">
        <f>[1]USVOJENE_VREDNOSTI!H270</f>
        <v>Севернобанатска</v>
      </c>
    </row>
    <row r="382" spans="1:7">
      <c r="A382" s="92">
        <f>[1]USVOJENE_VREDNOSTI!B271</f>
        <v>49</v>
      </c>
      <c r="B382" s="209" t="str">
        <f>[1]USVOJENE_VREDNOSTI!C271</f>
        <v>Кнић</v>
      </c>
      <c r="C382" s="92">
        <f>[1]USVOJENE_VREDNOSTI!D271</f>
        <v>320</v>
      </c>
      <c r="D382" s="92" t="str">
        <f>[1]USVOJENE_VREDNOSTI!E271</f>
        <v>Крагујевац</v>
      </c>
      <c r="E382" s="92">
        <f>[1]USVOJENE_VREDNOSTI!F271</f>
        <v>173</v>
      </c>
      <c r="F382" s="92">
        <f>[1]USVOJENE_VREDNOSTI!G271</f>
        <v>2530.9</v>
      </c>
      <c r="G382" s="92" t="str">
        <f>[1]USVOJENE_VREDNOSTI!H271</f>
        <v>Шумадијска</v>
      </c>
    </row>
    <row r="383" spans="1:7">
      <c r="A383" s="92">
        <f>[1]USVOJENE_VREDNOSTI!B272</f>
        <v>32</v>
      </c>
      <c r="B383" s="209" t="str">
        <f>[1]USVOJENE_VREDNOSTI!C272</f>
        <v>Књажевац</v>
      </c>
      <c r="C383" s="92">
        <f>[1]USVOJENE_VREDNOSTI!D272</f>
        <v>221</v>
      </c>
      <c r="D383" s="92" t="str">
        <f>[1]USVOJENE_VREDNOSTI!E272</f>
        <v>Зајечар</v>
      </c>
      <c r="E383" s="92">
        <f>[1]USVOJENE_VREDNOSTI!F272</f>
        <v>134</v>
      </c>
      <c r="F383" s="92">
        <f>[1]USVOJENE_VREDNOSTI!G272</f>
        <v>2792.3</v>
      </c>
      <c r="G383" s="92" t="str">
        <f>[1]USVOJENE_VREDNOSTI!H272</f>
        <v>Зајечарска</v>
      </c>
    </row>
    <row r="384" spans="1:7">
      <c r="A384" s="92">
        <f>[1]USVOJENE_VREDNOSTI!B273</f>
        <v>96</v>
      </c>
      <c r="B384" s="209" t="str">
        <f>[1]USVOJENE_VREDNOSTI!C273</f>
        <v>Ковачица</v>
      </c>
      <c r="C384" s="92">
        <f>[1]USVOJENE_VREDNOSTI!D273</f>
        <v>78</v>
      </c>
      <c r="D384" s="92" t="str">
        <f>[1]USVOJENE_VREDNOSTI!E273</f>
        <v>Банатски Карловац</v>
      </c>
      <c r="E384" s="175">
        <f>[1]USVOJENE_VREDNOSTI!F273</f>
        <v>89</v>
      </c>
      <c r="F384" s="92">
        <f>[1]USVOJENE_VREDNOSTI!G273</f>
        <v>2596.4</v>
      </c>
      <c r="G384" s="92" t="str">
        <f>[1]USVOJENE_VREDNOSTI!H273</f>
        <v>Јужнобанатска</v>
      </c>
    </row>
    <row r="385" spans="1:7">
      <c r="A385" s="92">
        <f>[1]USVOJENE_VREDNOSTI!B274</f>
        <v>39</v>
      </c>
      <c r="B385" s="209" t="str">
        <f>[1]USVOJENE_VREDNOSTI!C274</f>
        <v>Ковин</v>
      </c>
      <c r="C385" s="92">
        <f>[1]USVOJENE_VREDNOSTI!D274</f>
        <v>68</v>
      </c>
      <c r="D385" s="92" t="str">
        <f>[1]USVOJENE_VREDNOSTI!E274</f>
        <v>Банатски Карловац</v>
      </c>
      <c r="E385" s="175">
        <f>[1]USVOJENE_VREDNOSTI!F274</f>
        <v>89</v>
      </c>
      <c r="F385" s="92">
        <f>[1]USVOJENE_VREDNOSTI!G274</f>
        <v>2596.4</v>
      </c>
      <c r="G385" s="92" t="str">
        <f>[1]USVOJENE_VREDNOSTI!H274</f>
        <v>Јужнобанатска</v>
      </c>
    </row>
    <row r="386" spans="1:7">
      <c r="A386" s="92">
        <f>[1]USVOJENE_VREDNOSTI!B275</f>
        <v>28</v>
      </c>
      <c r="B386" s="209" t="str">
        <f>[1]USVOJENE_VREDNOSTI!C275</f>
        <v>Косјерић</v>
      </c>
      <c r="C386" s="92">
        <f>[1]USVOJENE_VREDNOSTI!D275</f>
        <v>415</v>
      </c>
      <c r="D386" s="92" t="str">
        <f>[1]USVOJENE_VREDNOSTI!E275</f>
        <v>Пожега</v>
      </c>
      <c r="E386" s="92">
        <f>[1]USVOJENE_VREDNOSTI!F275</f>
        <v>315</v>
      </c>
      <c r="F386" s="92">
        <f>[1]USVOJENE_VREDNOSTI!G275</f>
        <v>3062</v>
      </c>
      <c r="G386" s="92" t="str">
        <f>[1]USVOJENE_VREDNOSTI!H275</f>
        <v>Златиборска</v>
      </c>
    </row>
    <row r="387" spans="1:7">
      <c r="A387" s="92">
        <f>[1]USVOJENE_VREDNOSTI!B276</f>
        <v>129</v>
      </c>
      <c r="B387" s="209" t="str">
        <f>[1]USVOJENE_VREDNOSTI!C276</f>
        <v>Коцељева</v>
      </c>
      <c r="C387" s="92">
        <f>[1]USVOJENE_VREDNOSTI!D276</f>
        <v>126</v>
      </c>
      <c r="D387" s="92" t="str">
        <f>[1]USVOJENE_VREDNOSTI!E276</f>
        <v>Ваљево</v>
      </c>
      <c r="E387" s="92">
        <f>[1]USVOJENE_VREDNOSTI!F276</f>
        <v>199</v>
      </c>
      <c r="F387" s="92">
        <f>[1]USVOJENE_VREDNOSTI!G276</f>
        <v>2557.6</v>
      </c>
      <c r="G387" s="92" t="str">
        <f>[1]USVOJENE_VREDNOSTI!H276</f>
        <v>Мачванска</v>
      </c>
    </row>
    <row r="388" spans="1:7">
      <c r="A388" s="92">
        <f>[1]USVOJENE_VREDNOSTI!B277</f>
        <v>54</v>
      </c>
      <c r="B388" s="209" t="str">
        <f>[1]USVOJENE_VREDNOSTI!C277</f>
        <v>Крагујевац</v>
      </c>
      <c r="C388" s="92">
        <f>[1]USVOJENE_VREDNOSTI!D277</f>
        <v>173</v>
      </c>
      <c r="D388" s="92" t="str">
        <f>[1]USVOJENE_VREDNOSTI!E277</f>
        <v>Крагујевац</v>
      </c>
      <c r="E388" s="92">
        <f>[1]USVOJENE_VREDNOSTI!F277</f>
        <v>173</v>
      </c>
      <c r="F388" s="92">
        <f>[1]USVOJENE_VREDNOSTI!G277</f>
        <v>2530.9</v>
      </c>
      <c r="G388" s="92" t="str">
        <f>[1]USVOJENE_VREDNOSTI!H277</f>
        <v>Шумадијска</v>
      </c>
    </row>
    <row r="389" spans="1:7">
      <c r="A389" s="92">
        <f>[1]USVOJENE_VREDNOSTI!B278</f>
        <v>61</v>
      </c>
      <c r="B389" s="209" t="str">
        <f>[1]USVOJENE_VREDNOSTI!C278</f>
        <v>Краљево</v>
      </c>
      <c r="C389" s="92">
        <f>[1]USVOJENE_VREDNOSTI!D278</f>
        <v>192</v>
      </c>
      <c r="D389" s="92" t="str">
        <f>[1]USVOJENE_VREDNOSTI!E278</f>
        <v>Краљево</v>
      </c>
      <c r="E389" s="92">
        <f>[1]USVOJENE_VREDNOSTI!F278</f>
        <v>192</v>
      </c>
      <c r="F389" s="92">
        <f>[1]USVOJENE_VREDNOSTI!G278</f>
        <v>2579.4</v>
      </c>
      <c r="G389" s="92" t="str">
        <f>[1]USVOJENE_VREDNOSTI!H278</f>
        <v>Рашка</v>
      </c>
    </row>
    <row r="390" spans="1:7">
      <c r="A390" s="92">
        <f>[1]USVOJENE_VREDNOSTI!B279</f>
        <v>63</v>
      </c>
      <c r="B390" s="209" t="str">
        <f>[1]USVOJENE_VREDNOSTI!C279</f>
        <v>Крушевац</v>
      </c>
      <c r="C390" s="92">
        <f>[1]USVOJENE_VREDNOSTI!D279</f>
        <v>163</v>
      </c>
      <c r="D390" s="92" t="str">
        <f>[1]USVOJENE_VREDNOSTI!E279</f>
        <v>Крушевац</v>
      </c>
      <c r="E390" s="92">
        <f>[1]USVOJENE_VREDNOSTI!F279</f>
        <v>163</v>
      </c>
      <c r="F390" s="92">
        <f>[1]USVOJENE_VREDNOSTI!G279</f>
        <v>2588.6</v>
      </c>
      <c r="G390" s="92" t="str">
        <f>[1]USVOJENE_VREDNOSTI!H279</f>
        <v>Расинска</v>
      </c>
    </row>
    <row r="391" spans="1:7">
      <c r="A391" s="92">
        <f>[1]USVOJENE_VREDNOSTI!B280</f>
        <v>58</v>
      </c>
      <c r="B391" s="209" t="str">
        <f>[1]USVOJENE_VREDNOSTI!C280</f>
        <v>Кула</v>
      </c>
      <c r="C391" s="92">
        <f>[1]USVOJENE_VREDNOSTI!D280</f>
        <v>88</v>
      </c>
      <c r="D391" s="92" t="str">
        <f>[1]USVOJENE_VREDNOSTI!E280</f>
        <v>Сомбор</v>
      </c>
      <c r="E391" s="92">
        <f>[1]USVOJENE_VREDNOSTI!F280</f>
        <v>90</v>
      </c>
      <c r="F391" s="92">
        <f>[1]USVOJENE_VREDNOSTI!G280</f>
        <v>2686.2</v>
      </c>
      <c r="G391" s="92" t="str">
        <f>[1]USVOJENE_VREDNOSTI!H280</f>
        <v>Западнобачка</v>
      </c>
    </row>
    <row r="392" spans="1:7">
      <c r="A392" s="92">
        <f>[1]USVOJENE_VREDNOSTI!B281</f>
        <v>24</v>
      </c>
      <c r="B392" s="209" t="str">
        <f>[1]USVOJENE_VREDNOSTI!C281</f>
        <v>Куршумлија</v>
      </c>
      <c r="C392" s="92">
        <f>[1]USVOJENE_VREDNOSTI!D281</f>
        <v>366</v>
      </c>
      <c r="D392" s="92" t="str">
        <f>[1]USVOJENE_VREDNOSTI!E281</f>
        <v>Куршумлија</v>
      </c>
      <c r="E392" s="92">
        <f>[1]USVOJENE_VREDNOSTI!F281</f>
        <v>366</v>
      </c>
      <c r="F392" s="92">
        <f>[1]USVOJENE_VREDNOSTI!G281</f>
        <v>2823.3</v>
      </c>
      <c r="G392" s="92" t="str">
        <f>[1]USVOJENE_VREDNOSTI!H281</f>
        <v>Топличка</v>
      </c>
    </row>
    <row r="393" spans="1:7">
      <c r="A393" s="92">
        <f>[1]USVOJENE_VREDNOSTI!B282</f>
        <v>1</v>
      </c>
      <c r="B393" s="92" t="str">
        <f>[1]USVOJENE_VREDNOSTI!C282</f>
        <v>Кучево</v>
      </c>
      <c r="C393" s="92">
        <f>[1]USVOJENE_VREDNOSTI!D282</f>
        <v>162</v>
      </c>
      <c r="D393" s="92" t="str">
        <f>[1]USVOJENE_VREDNOSTI!E282</f>
        <v>Велико Градиште</v>
      </c>
      <c r="E393" s="92">
        <f>[1]USVOJENE_VREDNOSTI!F282</f>
        <v>72</v>
      </c>
      <c r="F393" s="92">
        <f>[1]USVOJENE_VREDNOSTI!G282</f>
        <v>2629.5</v>
      </c>
      <c r="G393" s="92" t="str">
        <f>[1]USVOJENE_VREDNOSTI!H282</f>
        <v>Браничевска</v>
      </c>
    </row>
    <row r="394" spans="1:7">
      <c r="A394" s="92">
        <f>[1]USVOJENE_VREDNOSTI!B283</f>
        <v>29</v>
      </c>
      <c r="B394" s="209" t="str">
        <f>[1]USVOJENE_VREDNOSTI!C283</f>
        <v>Лазаревац</v>
      </c>
      <c r="C394" s="92">
        <f>[1]USVOJENE_VREDNOSTI!D283</f>
        <v>161</v>
      </c>
      <c r="D394" s="92" t="str">
        <f>[1]USVOJENE_VREDNOSTI!E283</f>
        <v>Београд</v>
      </c>
      <c r="E394" s="175">
        <f>[1]USVOJENE_VREDNOSTI!F283</f>
        <v>117</v>
      </c>
      <c r="F394" s="92">
        <f>[1]USVOJENE_VREDNOSTI!G283</f>
        <v>2299</v>
      </c>
      <c r="G394" s="92" t="str">
        <f>[1]USVOJENE_VREDNOSTI!H283</f>
        <v>Београдски</v>
      </c>
    </row>
    <row r="395" spans="1:7">
      <c r="A395" s="92">
        <f>[1]USVOJENE_VREDNOSTI!B284</f>
        <v>43</v>
      </c>
      <c r="B395" s="209" t="str">
        <f>[1]USVOJENE_VREDNOSTI!C284</f>
        <v>Лапово</v>
      </c>
      <c r="C395" s="92">
        <f>[1]USVOJENE_VREDNOSTI!D284</f>
        <v>105</v>
      </c>
      <c r="D395" s="92" t="str">
        <f>[1]USVOJENE_VREDNOSTI!E284</f>
        <v>Смедеревска Паланка</v>
      </c>
      <c r="E395" s="92">
        <f>[1]USVOJENE_VREDNOSTI!F284</f>
        <v>125</v>
      </c>
      <c r="F395" s="92">
        <f>[1]USVOJENE_VREDNOSTI!G284</f>
        <v>2554.6</v>
      </c>
      <c r="G395" s="92" t="str">
        <f>[1]USVOJENE_VREDNOSTI!H284</f>
        <v>Шумадијска</v>
      </c>
    </row>
    <row r="396" spans="1:7">
      <c r="A396" s="92">
        <f>[1]USVOJENE_VREDNOSTI!B285</f>
        <v>71</v>
      </c>
      <c r="B396" s="209" t="str">
        <f>[1]USVOJENE_VREDNOSTI!C285</f>
        <v>Лебане</v>
      </c>
      <c r="C396" s="92">
        <f>[1]USVOJENE_VREDNOSTI!D285</f>
        <v>275</v>
      </c>
      <c r="D396" s="92" t="str">
        <f>[1]USVOJENE_VREDNOSTI!E285</f>
        <v>Лесковац</v>
      </c>
      <c r="E396" s="92">
        <f>[1]USVOJENE_VREDNOSTI!F285</f>
        <v>228</v>
      </c>
      <c r="F396" s="92">
        <f>[1]USVOJENE_VREDNOSTI!G285</f>
        <v>2681.2</v>
      </c>
      <c r="G396" s="92" t="str">
        <f>[1]USVOJENE_VREDNOSTI!H285</f>
        <v>Јабланичка</v>
      </c>
    </row>
    <row r="397" spans="1:7">
      <c r="A397" s="92">
        <f>[1]USVOJENE_VREDNOSTI!B286</f>
        <v>122</v>
      </c>
      <c r="B397" s="209" t="str">
        <f>[1]USVOJENE_VREDNOSTI!C286</f>
        <v>Лесковац</v>
      </c>
      <c r="C397" s="92">
        <f>[1]USVOJENE_VREDNOSTI!D286</f>
        <v>228</v>
      </c>
      <c r="D397" s="92" t="str">
        <f>[1]USVOJENE_VREDNOSTI!E286</f>
        <v>Лесковац</v>
      </c>
      <c r="E397" s="92">
        <f>[1]USVOJENE_VREDNOSTI!F286</f>
        <v>228</v>
      </c>
      <c r="F397" s="92">
        <f>[1]USVOJENE_VREDNOSTI!G286</f>
        <v>2681.2</v>
      </c>
      <c r="G397" s="92" t="str">
        <f>[1]USVOJENE_VREDNOSTI!H286</f>
        <v>Јабланичка</v>
      </c>
    </row>
    <row r="398" spans="1:7">
      <c r="A398" s="92">
        <f>[1]USVOJENE_VREDNOSTI!B287</f>
        <v>73</v>
      </c>
      <c r="B398" s="209" t="str">
        <f>[1]USVOJENE_VREDNOSTI!C287</f>
        <v>Лозница</v>
      </c>
      <c r="C398" s="92">
        <f>[1]USVOJENE_VREDNOSTI!D287</f>
        <v>121</v>
      </c>
      <c r="D398" s="92" t="str">
        <f>[1]USVOJENE_VREDNOSTI!E287</f>
        <v>Лозница</v>
      </c>
      <c r="E398" s="92">
        <f>[1]USVOJENE_VREDNOSTI!F287</f>
        <v>121</v>
      </c>
      <c r="F398" s="92">
        <f>[1]USVOJENE_VREDNOSTI!G287</f>
        <v>2478.6999999999998</v>
      </c>
      <c r="G398" s="92" t="str">
        <f>[1]USVOJENE_VREDNOSTI!H287</f>
        <v>Мачванска</v>
      </c>
    </row>
    <row r="399" spans="1:7">
      <c r="A399" s="92">
        <f>[1]USVOJENE_VREDNOSTI!B288</f>
        <v>59</v>
      </c>
      <c r="B399" s="209" t="str">
        <f>[1]USVOJENE_VREDNOSTI!C288</f>
        <v>Лучани</v>
      </c>
      <c r="C399" s="92">
        <f>[1]USVOJENE_VREDNOSTI!D288</f>
        <v>308</v>
      </c>
      <c r="D399" s="92" t="str">
        <f>[1]USVOJENE_VREDNOSTI!E288</f>
        <v>Пожега</v>
      </c>
      <c r="E399" s="92">
        <f>[1]USVOJENE_VREDNOSTI!F288</f>
        <v>315</v>
      </c>
      <c r="F399" s="92">
        <f>[1]USVOJENE_VREDNOSTI!G288</f>
        <v>3062</v>
      </c>
      <c r="G399" s="92" t="str">
        <f>[1]USVOJENE_VREDNOSTI!H288</f>
        <v>Моравичка</v>
      </c>
    </row>
    <row r="400" spans="1:7">
      <c r="A400" s="92">
        <f>[1]USVOJENE_VREDNOSTI!B289</f>
        <v>51</v>
      </c>
      <c r="B400" s="209" t="str">
        <f>[1]USVOJENE_VREDNOSTI!C289</f>
        <v>Љубовија</v>
      </c>
      <c r="C400" s="92">
        <f>[1]USVOJENE_VREDNOSTI!D289</f>
        <v>174</v>
      </c>
      <c r="D400" s="92" t="str">
        <f>[1]USVOJENE_VREDNOSTI!E289</f>
        <v>Љубовија</v>
      </c>
      <c r="E400" s="92">
        <f>[1]USVOJENE_VREDNOSTI!F289</f>
        <v>174</v>
      </c>
      <c r="F400" s="92">
        <f>[1]USVOJENE_VREDNOSTI!G289</f>
        <v>2627.9</v>
      </c>
      <c r="G400" s="92" t="str">
        <f>[1]USVOJENE_VREDNOSTI!H289</f>
        <v>Мачванска</v>
      </c>
    </row>
    <row r="401" spans="1:7">
      <c r="A401" s="92">
        <f>[1]USVOJENE_VREDNOSTI!B290</f>
        <v>118</v>
      </c>
      <c r="B401" s="209" t="str">
        <f>[1]USVOJENE_VREDNOSTI!C290</f>
        <v>Мајданпек</v>
      </c>
      <c r="C401" s="92">
        <f>[1]USVOJENE_VREDNOSTI!D290</f>
        <v>362</v>
      </c>
      <c r="D401" s="92" t="str">
        <f>[1]USVOJENE_VREDNOSTI!E290</f>
        <v>Неготин</v>
      </c>
      <c r="E401" s="92">
        <f>[1]USVOJENE_VREDNOSTI!F290</f>
        <v>46</v>
      </c>
      <c r="F401" s="92">
        <f>[1]USVOJENE_VREDNOSTI!G290</f>
        <v>2567.9</v>
      </c>
      <c r="G401" s="92" t="str">
        <f>[1]USVOJENE_VREDNOSTI!H290</f>
        <v>Борска</v>
      </c>
    </row>
    <row r="402" spans="1:7">
      <c r="A402" s="92">
        <f>[1]USVOJENE_VREDNOSTI!B291</f>
        <v>36</v>
      </c>
      <c r="B402" s="209" t="str">
        <f>[1]USVOJENE_VREDNOSTI!C291</f>
        <v>Мали Зворник</v>
      </c>
      <c r="C402" s="92">
        <f>[1]USVOJENE_VREDNOSTI!D291</f>
        <v>149</v>
      </c>
      <c r="D402" s="92" t="str">
        <f>[1]USVOJENE_VREDNOSTI!E291</f>
        <v>Лозница</v>
      </c>
      <c r="E402" s="92">
        <f>[1]USVOJENE_VREDNOSTI!F291</f>
        <v>121</v>
      </c>
      <c r="F402" s="92">
        <f>[1]USVOJENE_VREDNOSTI!G291</f>
        <v>2478.6999999999998</v>
      </c>
      <c r="G402" s="92" t="str">
        <f>[1]USVOJENE_VREDNOSTI!H291</f>
        <v>Мачванска</v>
      </c>
    </row>
    <row r="403" spans="1:7">
      <c r="A403" s="92">
        <f>[1]USVOJENE_VREDNOSTI!B292</f>
        <v>88</v>
      </c>
      <c r="B403" s="209" t="str">
        <f>[1]USVOJENE_VREDNOSTI!C292</f>
        <v>Мали Иђош</v>
      </c>
      <c r="C403" s="92">
        <f>[1]USVOJENE_VREDNOSTI!D292</f>
        <v>88</v>
      </c>
      <c r="D403" s="92" t="str">
        <f>[1]USVOJENE_VREDNOSTI!E292</f>
        <v>Палић</v>
      </c>
      <c r="E403" s="175">
        <f>[1]USVOJENE_VREDNOSTI!F292</f>
        <v>102</v>
      </c>
      <c r="F403" s="92">
        <f>[1]USVOJENE_VREDNOSTI!G292</f>
        <v>2779.2</v>
      </c>
      <c r="G403" s="92" t="str">
        <f>[1]USVOJENE_VREDNOSTI!H292</f>
        <v>Севернобачка</v>
      </c>
    </row>
    <row r="404" spans="1:7">
      <c r="A404" s="92">
        <f>[1]USVOJENE_VREDNOSTI!B293</f>
        <v>47</v>
      </c>
      <c r="B404" s="209" t="str">
        <f>[1]USVOJENE_VREDNOSTI!C293</f>
        <v>Мало Црниће</v>
      </c>
      <c r="C404" s="92">
        <f>[1]USVOJENE_VREDNOSTI!D293</f>
        <v>87</v>
      </c>
      <c r="D404" s="92" t="str">
        <f>[1]USVOJENE_VREDNOSTI!E293</f>
        <v>Велико Градиште</v>
      </c>
      <c r="E404" s="92">
        <f>[1]USVOJENE_VREDNOSTI!F293</f>
        <v>72</v>
      </c>
      <c r="F404" s="92">
        <f>[1]USVOJENE_VREDNOSTI!G293</f>
        <v>2629.5</v>
      </c>
      <c r="G404" s="92" t="str">
        <f>[1]USVOJENE_VREDNOSTI!H293</f>
        <v>Браничевска</v>
      </c>
    </row>
    <row r="405" spans="1:7">
      <c r="A405" s="92">
        <f>[1]USVOJENE_VREDNOSTI!B294</f>
        <v>64</v>
      </c>
      <c r="B405" s="209" t="str">
        <f>[1]USVOJENE_VREDNOSTI!C294</f>
        <v>Мерошина</v>
      </c>
      <c r="C405" s="92">
        <f>[1]USVOJENE_VREDNOSTI!D294</f>
        <v>244</v>
      </c>
      <c r="D405" s="92" t="str">
        <f>[1]USVOJENE_VREDNOSTI!E294</f>
        <v>Ниш</v>
      </c>
      <c r="E405" s="92">
        <f>[1]USVOJENE_VREDNOSTI!F294</f>
        <v>195</v>
      </c>
      <c r="F405" s="92">
        <f>[1]USVOJENE_VREDNOSTI!G294</f>
        <v>2476.6999999999998</v>
      </c>
      <c r="G405" s="92" t="str">
        <f>[1]USVOJENE_VREDNOSTI!H294</f>
        <v>Нишавска</v>
      </c>
    </row>
    <row r="406" spans="1:7">
      <c r="A406" s="92">
        <f>[1]USVOJENE_VREDNOSTI!B295</f>
        <v>95</v>
      </c>
      <c r="B406" s="209" t="str">
        <f>[1]USVOJENE_VREDNOSTI!C295</f>
        <v>Младеновац</v>
      </c>
      <c r="C406" s="92">
        <f>[1]USVOJENE_VREDNOSTI!D295</f>
        <v>138</v>
      </c>
      <c r="D406" s="92" t="str">
        <f>[1]USVOJENE_VREDNOSTI!E295</f>
        <v>Смедеревска Паланка</v>
      </c>
      <c r="E406" s="92">
        <f>[1]USVOJENE_VREDNOSTI!F295</f>
        <v>125</v>
      </c>
      <c r="F406" s="92">
        <f>[1]USVOJENE_VREDNOSTI!G295</f>
        <v>2554.6</v>
      </c>
      <c r="G406" s="92" t="str">
        <f>[1]USVOJENE_VREDNOSTI!H295</f>
        <v>Београдски</v>
      </c>
    </row>
    <row r="407" spans="1:7">
      <c r="A407" s="92">
        <f>[1]USVOJENE_VREDNOSTI!B296</f>
        <v>92</v>
      </c>
      <c r="B407" s="209" t="str">
        <f>[1]USVOJENE_VREDNOSTI!C296</f>
        <v>Неготин</v>
      </c>
      <c r="C407" s="92">
        <f>[1]USVOJENE_VREDNOSTI!D296</f>
        <v>46</v>
      </c>
      <c r="D407" s="92" t="str">
        <f>[1]USVOJENE_VREDNOSTI!E296</f>
        <v>Неготин</v>
      </c>
      <c r="E407" s="92">
        <f>[1]USVOJENE_VREDNOSTI!F296</f>
        <v>46</v>
      </c>
      <c r="F407" s="92">
        <f>[1]USVOJENE_VREDNOSTI!G296</f>
        <v>2567.9</v>
      </c>
      <c r="G407" s="92" t="str">
        <f>[1]USVOJENE_VREDNOSTI!H296</f>
        <v>Борска</v>
      </c>
    </row>
    <row r="408" spans="1:7">
      <c r="A408" s="92">
        <f>[1]USVOJENE_VREDNOSTI!B297</f>
        <v>27</v>
      </c>
      <c r="B408" s="209" t="str">
        <f>[1]USVOJENE_VREDNOSTI!C297</f>
        <v>Ниш</v>
      </c>
      <c r="C408" s="92">
        <f>[1]USVOJENE_VREDNOSTI!D297</f>
        <v>195</v>
      </c>
      <c r="D408" s="92" t="str">
        <f>[1]USVOJENE_VREDNOSTI!E297</f>
        <v>Ниш</v>
      </c>
      <c r="E408" s="92">
        <f>[1]USVOJENE_VREDNOSTI!F297</f>
        <v>195</v>
      </c>
      <c r="F408" s="92">
        <f>[1]USVOJENE_VREDNOSTI!G297</f>
        <v>2476.6999999999998</v>
      </c>
      <c r="G408" s="92" t="str">
        <f>[1]USVOJENE_VREDNOSTI!H297</f>
        <v>Нишавска</v>
      </c>
    </row>
    <row r="409" spans="1:7">
      <c r="A409" s="92">
        <f>[1]USVOJENE_VREDNOSTI!B298</f>
        <v>21</v>
      </c>
      <c r="B409" s="209" t="str">
        <f>[1]USVOJENE_VREDNOSTI!C298</f>
        <v>Нова Варош</v>
      </c>
      <c r="C409" s="92">
        <f>[1]USVOJENE_VREDNOSTI!D298</f>
        <v>1111</v>
      </c>
      <c r="D409" s="92" t="str">
        <f>[1]USVOJENE_VREDNOSTI!E298</f>
        <v>Сјеница</v>
      </c>
      <c r="E409" s="175">
        <f>[1]USVOJENE_VREDNOSTI!F298</f>
        <v>1038</v>
      </c>
      <c r="F409" s="92">
        <f>[1]USVOJENE_VREDNOSTI!G298</f>
        <v>3956</v>
      </c>
      <c r="G409" s="92" t="str">
        <f>[1]USVOJENE_VREDNOSTI!H298</f>
        <v>Златиборска</v>
      </c>
    </row>
    <row r="410" spans="1:7">
      <c r="A410" s="92">
        <f>[1]USVOJENE_VREDNOSTI!B299</f>
        <v>44</v>
      </c>
      <c r="B410" s="209" t="str">
        <f>[1]USVOJENE_VREDNOSTI!C299</f>
        <v>Нова Црња</v>
      </c>
      <c r="C410" s="92">
        <f>[1]USVOJENE_VREDNOSTI!D299</f>
        <v>77</v>
      </c>
      <c r="D410" s="92" t="str">
        <f>[1]USVOJENE_VREDNOSTI!E299</f>
        <v>Кикинда</v>
      </c>
      <c r="E410" s="92">
        <f>[1]USVOJENE_VREDNOSTI!F299</f>
        <v>78</v>
      </c>
      <c r="F410" s="92">
        <f>[1]USVOJENE_VREDNOSTI!G299</f>
        <v>2644.2</v>
      </c>
      <c r="G410" s="92" t="str">
        <f>[1]USVOJENE_VREDNOSTI!H299</f>
        <v>Средњeбанатска</v>
      </c>
    </row>
    <row r="411" spans="1:7">
      <c r="A411" s="92">
        <f>[1]USVOJENE_VREDNOSTI!B300</f>
        <v>46</v>
      </c>
      <c r="B411" s="209" t="str">
        <f>[1]USVOJENE_VREDNOSTI!C300</f>
        <v>Нови Бечеј</v>
      </c>
      <c r="C411" s="92">
        <f>[1]USVOJENE_VREDNOSTI!D300</f>
        <v>76</v>
      </c>
      <c r="D411" s="92" t="str">
        <f>[1]USVOJENE_VREDNOSTI!E300</f>
        <v>Кикинда</v>
      </c>
      <c r="E411" s="92">
        <f>[1]USVOJENE_VREDNOSTI!F300</f>
        <v>78</v>
      </c>
      <c r="F411" s="92">
        <f>[1]USVOJENE_VREDNOSTI!G300</f>
        <v>2644.2</v>
      </c>
      <c r="G411" s="92" t="str">
        <f>[1]USVOJENE_VREDNOSTI!H300</f>
        <v>Средњeбанатска</v>
      </c>
    </row>
    <row r="412" spans="1:7">
      <c r="A412" s="92">
        <f>[1]USVOJENE_VREDNOSTI!B301</f>
        <v>97</v>
      </c>
      <c r="B412" s="209" t="str">
        <f>[1]USVOJENE_VREDNOSTI!C301</f>
        <v>Нови Кнежевац</v>
      </c>
      <c r="C412" s="92">
        <f>[1]USVOJENE_VREDNOSTI!D301</f>
        <v>84</v>
      </c>
      <c r="D412" s="92" t="str">
        <f>[1]USVOJENE_VREDNOSTI!E301</f>
        <v>Кикинда</v>
      </c>
      <c r="E412" s="92">
        <f>[1]USVOJENE_VREDNOSTI!F301</f>
        <v>78</v>
      </c>
      <c r="F412" s="92">
        <f>[1]USVOJENE_VREDNOSTI!G301</f>
        <v>2644.2</v>
      </c>
      <c r="G412" s="92" t="str">
        <f>[1]USVOJENE_VREDNOSTI!H301</f>
        <v>Севернобанатска</v>
      </c>
    </row>
    <row r="413" spans="1:7">
      <c r="A413" s="92">
        <f>[1]USVOJENE_VREDNOSTI!B302</f>
        <v>99</v>
      </c>
      <c r="B413" s="209" t="str">
        <f>[1]USVOJENE_VREDNOSTI!C302</f>
        <v>Нови Пазар</v>
      </c>
      <c r="C413" s="92">
        <f>[1]USVOJENE_VREDNOSTI!D302</f>
        <v>477</v>
      </c>
      <c r="D413" s="92" t="str">
        <f>[1]USVOJENE_VREDNOSTI!E302</f>
        <v>Јошаничка Бања</v>
      </c>
      <c r="E413" s="175">
        <f>[1]USVOJENE_VREDNOSTI!F302</f>
        <v>555</v>
      </c>
      <c r="F413" s="92">
        <f>[1]USVOJENE_VREDNOSTI!G302</f>
        <v>3008.5</v>
      </c>
      <c r="G413" s="92" t="str">
        <f>[1]USVOJENE_VREDNOSTI!H302</f>
        <v>Рашка</v>
      </c>
    </row>
    <row r="414" spans="1:7">
      <c r="A414" s="92">
        <f>[1]USVOJENE_VREDNOSTI!B303</f>
        <v>75</v>
      </c>
      <c r="B414" s="209" t="str">
        <f>[1]USVOJENE_VREDNOSTI!C303</f>
        <v>Нови Сад</v>
      </c>
      <c r="C414" s="92">
        <f>[1]USVOJENE_VREDNOSTI!D303</f>
        <v>80</v>
      </c>
      <c r="D414" s="92" t="str">
        <f>[1]USVOJENE_VREDNOSTI!E303</f>
        <v>Нови Сад</v>
      </c>
      <c r="E414" s="92">
        <f>[1]USVOJENE_VREDNOSTI!F303</f>
        <v>80</v>
      </c>
      <c r="F414" s="92">
        <f>[1]USVOJENE_VREDNOSTI!G303</f>
        <v>2604.1999999999998</v>
      </c>
      <c r="G414" s="92" t="str">
        <f>[1]USVOJENE_VREDNOSTI!H303</f>
        <v>Јужнобачка</v>
      </c>
    </row>
    <row r="415" spans="1:7">
      <c r="A415" s="92">
        <f>[1]USVOJENE_VREDNOSTI!B304</f>
        <v>116</v>
      </c>
      <c r="B415" s="209" t="str">
        <f>[1]USVOJENE_VREDNOSTI!C304</f>
        <v>Обреновац</v>
      </c>
      <c r="C415" s="92">
        <f>[1]USVOJENE_VREDNOSTI!D304</f>
        <v>76</v>
      </c>
      <c r="D415" s="92" t="str">
        <f>[1]USVOJENE_VREDNOSTI!E304</f>
        <v>Сурчин</v>
      </c>
      <c r="E415" s="175">
        <f>[1]USVOJENE_VREDNOSTI!F304</f>
        <v>96</v>
      </c>
      <c r="F415" s="92">
        <f>[1]USVOJENE_VREDNOSTI!G304</f>
        <v>2482.5</v>
      </c>
      <c r="G415" s="92" t="str">
        <f>[1]USVOJENE_VREDNOSTI!H304</f>
        <v>Београдски</v>
      </c>
    </row>
    <row r="416" spans="1:7">
      <c r="A416" s="92">
        <f>[1]USVOJENE_VREDNOSTI!B305</f>
        <v>14</v>
      </c>
      <c r="B416" s="209" t="str">
        <f>[1]USVOJENE_VREDNOSTI!C305</f>
        <v>Опово</v>
      </c>
      <c r="C416" s="92">
        <f>[1]USVOJENE_VREDNOSTI!D305</f>
        <v>67</v>
      </c>
      <c r="D416" s="92" t="str">
        <f>[1]USVOJENE_VREDNOSTI!E305</f>
        <v>Зрењанин</v>
      </c>
      <c r="E416" s="92">
        <f>[1]USVOJENE_VREDNOSTI!F305</f>
        <v>76</v>
      </c>
      <c r="F416" s="92">
        <f>[1]USVOJENE_VREDNOSTI!G305</f>
        <v>2589.6999999999998</v>
      </c>
      <c r="G416" s="92" t="str">
        <f>[1]USVOJENE_VREDNOSTI!H305</f>
        <v>Јужнобанатска</v>
      </c>
    </row>
    <row r="417" spans="1:7">
      <c r="A417" s="92">
        <f>[1]USVOJENE_VREDNOSTI!B306</f>
        <v>5</v>
      </c>
      <c r="B417" s="92" t="str">
        <f>[1]USVOJENE_VREDNOSTI!C306</f>
        <v>Оџаци</v>
      </c>
      <c r="C417" s="92">
        <f>[1]USVOJENE_VREDNOSTI!D306</f>
        <v>87</v>
      </c>
      <c r="D417" s="92" t="str">
        <f>[1]USVOJENE_VREDNOSTI!E306</f>
        <v>Сомбор</v>
      </c>
      <c r="E417" s="92">
        <f>[1]USVOJENE_VREDNOSTI!F306</f>
        <v>90</v>
      </c>
      <c r="F417" s="92">
        <f>[1]USVOJENE_VREDNOSTI!G306</f>
        <v>2686.2</v>
      </c>
      <c r="G417" s="92" t="str">
        <f>[1]USVOJENE_VREDNOSTI!H306</f>
        <v>Западнобачка</v>
      </c>
    </row>
    <row r="418" spans="1:7">
      <c r="A418" s="92">
        <f>[1]USVOJENE_VREDNOSTI!B307</f>
        <v>131</v>
      </c>
      <c r="B418" s="209" t="str">
        <f>[1]USVOJENE_VREDNOSTI!C307</f>
        <v>Палилула</v>
      </c>
      <c r="C418" s="92">
        <f>[1]USVOJENE_VREDNOSTI!D307</f>
        <v>256</v>
      </c>
      <c r="D418" s="92" t="str">
        <f>[1]USVOJENE_VREDNOSTI!E307</f>
        <v>Београд</v>
      </c>
      <c r="E418" s="175">
        <f>[1]USVOJENE_VREDNOSTI!F307</f>
        <v>117</v>
      </c>
      <c r="F418" s="92">
        <f>[1]USVOJENE_VREDNOSTI!G307</f>
        <v>2299</v>
      </c>
      <c r="G418" s="92" t="str">
        <f>[1]USVOJENE_VREDNOSTI!H307</f>
        <v>Београдски</v>
      </c>
    </row>
    <row r="419" spans="1:7">
      <c r="A419" s="92">
        <f>[1]USVOJENE_VREDNOSTI!B308</f>
        <v>104</v>
      </c>
      <c r="B419" s="209" t="str">
        <f>[1]USVOJENE_VREDNOSTI!C308</f>
        <v>Панчево</v>
      </c>
      <c r="C419" s="92">
        <f>[1]USVOJENE_VREDNOSTI!D308</f>
        <v>77</v>
      </c>
      <c r="D419" s="92" t="str">
        <f>[1]USVOJENE_VREDNOSTI!E308</f>
        <v>Банатски Карловац</v>
      </c>
      <c r="E419" s="175">
        <f>[1]USVOJENE_VREDNOSTI!F308</f>
        <v>89</v>
      </c>
      <c r="F419" s="92">
        <f>[1]USVOJENE_VREDNOSTI!G308</f>
        <v>2596.4</v>
      </c>
      <c r="G419" s="92" t="str">
        <f>[1]USVOJENE_VREDNOSTI!H308</f>
        <v>Јужнобанатска</v>
      </c>
    </row>
    <row r="420" spans="1:7">
      <c r="A420" s="92">
        <f>[1]USVOJENE_VREDNOSTI!B309</f>
        <v>77</v>
      </c>
      <c r="B420" s="209" t="str">
        <f>[1]USVOJENE_VREDNOSTI!C309</f>
        <v>Параћин</v>
      </c>
      <c r="C420" s="92">
        <f>[1]USVOJENE_VREDNOSTI!D309</f>
        <v>132</v>
      </c>
      <c r="D420" s="92" t="str">
        <f>[1]USVOJENE_VREDNOSTI!E309</f>
        <v>Ћуприја</v>
      </c>
      <c r="E420" s="92">
        <f>[1]USVOJENE_VREDNOSTI!F309</f>
        <v>124</v>
      </c>
      <c r="F420" s="92">
        <f>[1]USVOJENE_VREDNOSTI!G309</f>
        <v>2666.2</v>
      </c>
      <c r="G420" s="92" t="str">
        <f>[1]USVOJENE_VREDNOSTI!H309</f>
        <v>Поморавска</v>
      </c>
    </row>
    <row r="421" spans="1:7">
      <c r="A421" s="92">
        <f>[1]USVOJENE_VREDNOSTI!B310</f>
        <v>31</v>
      </c>
      <c r="B421" s="209" t="str">
        <f>[1]USVOJENE_VREDNOSTI!C310</f>
        <v>Петровац на Млави</v>
      </c>
      <c r="C421" s="92">
        <f>[1]USVOJENE_VREDNOSTI!D310</f>
        <v>127</v>
      </c>
      <c r="D421" s="92" t="str">
        <f>[1]USVOJENE_VREDNOSTI!E310</f>
        <v>Велико Градиште</v>
      </c>
      <c r="E421" s="92">
        <f>[1]USVOJENE_VREDNOSTI!F310</f>
        <v>72</v>
      </c>
      <c r="F421" s="92">
        <f>[1]USVOJENE_VREDNOSTI!G310</f>
        <v>2629.5</v>
      </c>
      <c r="G421" s="92" t="str">
        <f>[1]USVOJENE_VREDNOSTI!H310</f>
        <v>Браничевска</v>
      </c>
    </row>
    <row r="422" spans="1:7">
      <c r="A422" s="92">
        <f>[1]USVOJENE_VREDNOSTI!B311</f>
        <v>62</v>
      </c>
      <c r="B422" s="209" t="str">
        <f>[1]USVOJENE_VREDNOSTI!C311</f>
        <v>Пећинци</v>
      </c>
      <c r="C422" s="92">
        <f>[1]USVOJENE_VREDNOSTI!D311</f>
        <v>83</v>
      </c>
      <c r="D422" s="92" t="str">
        <f>[1]USVOJENE_VREDNOSTI!E311</f>
        <v>Сурчин</v>
      </c>
      <c r="E422" s="175">
        <f>[1]USVOJENE_VREDNOSTI!F311</f>
        <v>96</v>
      </c>
      <c r="F422" s="92">
        <f>[1]USVOJENE_VREDNOSTI!G311</f>
        <v>2482.5</v>
      </c>
      <c r="G422" s="92" t="str">
        <f>[1]USVOJENE_VREDNOSTI!H311</f>
        <v>Сремска</v>
      </c>
    </row>
    <row r="423" spans="1:7">
      <c r="A423" s="92">
        <f>[1]USVOJENE_VREDNOSTI!B312</f>
        <v>78</v>
      </c>
      <c r="B423" s="209" t="str">
        <f>[1]USVOJENE_VREDNOSTI!C312</f>
        <v>Пирот</v>
      </c>
      <c r="C423" s="92">
        <f>[1]USVOJENE_VREDNOSTI!D312</f>
        <v>367</v>
      </c>
      <c r="D423" s="92" t="str">
        <f>[1]USVOJENE_VREDNOSTI!E312</f>
        <v>Пирот</v>
      </c>
      <c r="E423" s="92">
        <f>[1]USVOJENE_VREDNOSTI!F312</f>
        <v>367</v>
      </c>
      <c r="F423" s="92">
        <f>[1]USVOJENE_VREDNOSTI!G312</f>
        <v>2613.1</v>
      </c>
      <c r="G423" s="92" t="str">
        <f>[1]USVOJENE_VREDNOSTI!H312</f>
        <v>Пиротска</v>
      </c>
    </row>
    <row r="424" spans="1:7">
      <c r="A424" s="92">
        <f>[1]USVOJENE_VREDNOSTI!B313</f>
        <v>52</v>
      </c>
      <c r="B424" s="209" t="str">
        <f>[1]USVOJENE_VREDNOSTI!C313</f>
        <v>Пландиште</v>
      </c>
      <c r="C424" s="92">
        <f>[1]USVOJENE_VREDNOSTI!D313</f>
        <v>79</v>
      </c>
      <c r="D424" s="92" t="str">
        <f>[1]USVOJENE_VREDNOSTI!E313</f>
        <v>Вршац</v>
      </c>
      <c r="E424" s="92">
        <f>[1]USVOJENE_VREDNOSTI!F313</f>
        <v>93</v>
      </c>
      <c r="F424" s="92">
        <f>[1]USVOJENE_VREDNOSTI!G313</f>
        <v>2521</v>
      </c>
      <c r="G424" s="92" t="str">
        <f>[1]USVOJENE_VREDNOSTI!H313</f>
        <v>Јужнобанатска</v>
      </c>
    </row>
    <row r="425" spans="1:7">
      <c r="A425" s="92">
        <f>[1]USVOJENE_VREDNOSTI!B314</f>
        <v>65</v>
      </c>
      <c r="B425" s="209" t="str">
        <f>[1]USVOJENE_VREDNOSTI!C314</f>
        <v>Пожаревац</v>
      </c>
      <c r="C425" s="92">
        <f>[1]USVOJENE_VREDNOSTI!D314</f>
        <v>81</v>
      </c>
      <c r="D425" s="92" t="str">
        <f>[1]USVOJENE_VREDNOSTI!E314</f>
        <v>Велико Градиште</v>
      </c>
      <c r="E425" s="92">
        <f>[1]USVOJENE_VREDNOSTI!F314</f>
        <v>72</v>
      </c>
      <c r="F425" s="92">
        <f>[1]USVOJENE_VREDNOSTI!G314</f>
        <v>2629.5</v>
      </c>
      <c r="G425" s="92" t="str">
        <f>[1]USVOJENE_VREDNOSTI!H314</f>
        <v>Браничевска</v>
      </c>
    </row>
    <row r="426" spans="1:7">
      <c r="A426" s="92">
        <f>[1]USVOJENE_VREDNOSTI!B315</f>
        <v>25</v>
      </c>
      <c r="B426" s="209" t="str">
        <f>[1]USVOJENE_VREDNOSTI!C315</f>
        <v>Пожега</v>
      </c>
      <c r="C426" s="92">
        <f>[1]USVOJENE_VREDNOSTI!D315</f>
        <v>315</v>
      </c>
      <c r="D426" s="92" t="str">
        <f>[1]USVOJENE_VREDNOSTI!E315</f>
        <v>Пожега</v>
      </c>
      <c r="E426" s="92">
        <f>[1]USVOJENE_VREDNOSTI!F315</f>
        <v>315</v>
      </c>
      <c r="F426" s="92">
        <f>[1]USVOJENE_VREDNOSTI!G315</f>
        <v>3062</v>
      </c>
      <c r="G426" s="92" t="str">
        <f>[1]USVOJENE_VREDNOSTI!H315</f>
        <v>Златиборска</v>
      </c>
    </row>
    <row r="427" spans="1:7">
      <c r="A427" s="92">
        <f>[1]USVOJENE_VREDNOSTI!B316</f>
        <v>114</v>
      </c>
      <c r="B427" s="209" t="str">
        <f>[1]USVOJENE_VREDNOSTI!C316</f>
        <v>Прешево</v>
      </c>
      <c r="C427" s="92">
        <f>[1]USVOJENE_VREDNOSTI!D316</f>
        <v>463</v>
      </c>
      <c r="D427" s="92" t="str">
        <f>[1]USVOJENE_VREDNOSTI!E316</f>
        <v>Врање</v>
      </c>
      <c r="E427" s="92">
        <f>[1]USVOJENE_VREDNOSTI!F316</f>
        <v>487</v>
      </c>
      <c r="F427" s="92">
        <f>[1]USVOJENE_VREDNOSTI!G316</f>
        <v>2662.9</v>
      </c>
      <c r="G427" s="92" t="str">
        <f>[1]USVOJENE_VREDNOSTI!H316</f>
        <v>Пчињска</v>
      </c>
    </row>
    <row r="428" spans="1:7">
      <c r="A428" s="92">
        <f>[1]USVOJENE_VREDNOSTI!B317</f>
        <v>119</v>
      </c>
      <c r="B428" s="209" t="str">
        <f>[1]USVOJENE_VREDNOSTI!C317</f>
        <v>Прибој</v>
      </c>
      <c r="C428" s="92">
        <f>[1]USVOJENE_VREDNOSTI!D317</f>
        <v>882</v>
      </c>
      <c r="D428" s="92" t="str">
        <f>[1]USVOJENE_VREDNOSTI!E317</f>
        <v>РЦ Ужице</v>
      </c>
      <c r="E428" s="175">
        <f>[1]USVOJENE_VREDNOSTI!F317</f>
        <v>833</v>
      </c>
      <c r="F428" s="92">
        <f>[1]USVOJENE_VREDNOSTI!G317</f>
        <v>3190.6</v>
      </c>
      <c r="G428" s="92" t="str">
        <f>[1]USVOJENE_VREDNOSTI!H317</f>
        <v>Златиборска</v>
      </c>
    </row>
    <row r="429" spans="1:7">
      <c r="A429" s="92">
        <f>[1]USVOJENE_VREDNOSTI!B318</f>
        <v>79</v>
      </c>
      <c r="B429" s="209" t="str">
        <f>[1]USVOJENE_VREDNOSTI!C318</f>
        <v>Пријепоље</v>
      </c>
      <c r="C429" s="92">
        <f>[1]USVOJENE_VREDNOSTI!D318</f>
        <v>557</v>
      </c>
      <c r="D429" s="92" t="str">
        <f>[1]USVOJENE_VREDNOSTI!E318</f>
        <v>РЦ Ужице</v>
      </c>
      <c r="E429" s="175">
        <f>[1]USVOJENE_VREDNOSTI!F318</f>
        <v>833</v>
      </c>
      <c r="F429" s="92">
        <f>[1]USVOJENE_VREDNOSTI!G318</f>
        <v>3190.6</v>
      </c>
      <c r="G429" s="92" t="str">
        <f>[1]USVOJENE_VREDNOSTI!H318</f>
        <v>Златиборска</v>
      </c>
    </row>
    <row r="430" spans="1:7">
      <c r="A430" s="92">
        <f>[1]USVOJENE_VREDNOSTI!B319</f>
        <v>38</v>
      </c>
      <c r="B430" s="209" t="str">
        <f>[1]USVOJENE_VREDNOSTI!C319</f>
        <v>Прокупље</v>
      </c>
      <c r="C430" s="92">
        <f>[1]USVOJENE_VREDNOSTI!D319</f>
        <v>273</v>
      </c>
      <c r="D430" s="92" t="str">
        <f>[1]USVOJENE_VREDNOSTI!E319</f>
        <v>Куршумлија</v>
      </c>
      <c r="E430" s="92">
        <f>[1]USVOJENE_VREDNOSTI!F319</f>
        <v>366</v>
      </c>
      <c r="F430" s="92">
        <f>[1]USVOJENE_VREDNOSTI!G319</f>
        <v>2823.3</v>
      </c>
      <c r="G430" s="92" t="str">
        <f>[1]USVOJENE_VREDNOSTI!H319</f>
        <v>Топличка</v>
      </c>
    </row>
    <row r="431" spans="1:7">
      <c r="A431" s="92">
        <f>[1]USVOJENE_VREDNOSTI!B320</f>
        <v>98</v>
      </c>
      <c r="B431" s="209" t="str">
        <f>[1]USVOJENE_VREDNOSTI!C320</f>
        <v>Раковица</v>
      </c>
      <c r="C431" s="92">
        <f>[1]USVOJENE_VREDNOSTI!D320</f>
        <v>307</v>
      </c>
      <c r="D431" s="92" t="str">
        <f>[1]USVOJENE_VREDNOSTI!E320</f>
        <v>Београд</v>
      </c>
      <c r="E431" s="175">
        <f>[1]USVOJENE_VREDNOSTI!F320</f>
        <v>117</v>
      </c>
      <c r="F431" s="92">
        <f>[1]USVOJENE_VREDNOSTI!G320</f>
        <v>2299</v>
      </c>
      <c r="G431" s="92" t="str">
        <f>[1]USVOJENE_VREDNOSTI!H320</f>
        <v>Београдски</v>
      </c>
    </row>
    <row r="432" spans="1:7">
      <c r="A432" s="92">
        <f>[1]USVOJENE_VREDNOSTI!B321</f>
        <v>23</v>
      </c>
      <c r="B432" s="209" t="str">
        <f>[1]USVOJENE_VREDNOSTI!C321</f>
        <v>Рача</v>
      </c>
      <c r="C432" s="92">
        <f>[1]USVOJENE_VREDNOSTI!D321</f>
        <v>140</v>
      </c>
      <c r="D432" s="92" t="str">
        <f>[1]USVOJENE_VREDNOSTI!E321</f>
        <v>Крагујевац</v>
      </c>
      <c r="E432" s="92">
        <f>[1]USVOJENE_VREDNOSTI!F321</f>
        <v>173</v>
      </c>
      <c r="F432" s="92">
        <f>[1]USVOJENE_VREDNOSTI!G321</f>
        <v>2530.9</v>
      </c>
      <c r="G432" s="92" t="str">
        <f>[1]USVOJENE_VREDNOSTI!H321</f>
        <v>Шумадијска</v>
      </c>
    </row>
    <row r="433" spans="1:7">
      <c r="A433" s="92">
        <f>[1]USVOJENE_VREDNOSTI!B322</f>
        <v>117</v>
      </c>
      <c r="B433" s="209" t="str">
        <f>[1]USVOJENE_VREDNOSTI!C322</f>
        <v>Рашка</v>
      </c>
      <c r="C433" s="92">
        <f>[1]USVOJENE_VREDNOSTI!D322</f>
        <v>497</v>
      </c>
      <c r="D433" s="92" t="str">
        <f>[1]USVOJENE_VREDNOSTI!E322</f>
        <v>Јошаничка Бања</v>
      </c>
      <c r="E433" s="175">
        <f>[1]USVOJENE_VREDNOSTI!F322</f>
        <v>555</v>
      </c>
      <c r="F433" s="92">
        <f>[1]USVOJENE_VREDNOSTI!G322</f>
        <v>3008.5</v>
      </c>
      <c r="G433" s="92" t="str">
        <f>[1]USVOJENE_VREDNOSTI!H322</f>
        <v>Рашка</v>
      </c>
    </row>
    <row r="434" spans="1:7">
      <c r="A434" s="92">
        <f>[1]USVOJENE_VREDNOSTI!B323</f>
        <v>6</v>
      </c>
      <c r="B434" s="92" t="str">
        <f>[1]USVOJENE_VREDNOSTI!C323</f>
        <v>Савски Венац</v>
      </c>
      <c r="C434" s="92">
        <f>[1]USVOJENE_VREDNOSTI!D323</f>
        <v>161</v>
      </c>
      <c r="D434" s="92" t="str">
        <f>[1]USVOJENE_VREDNOSTI!E323</f>
        <v>Београд</v>
      </c>
      <c r="E434" s="175">
        <f>[1]USVOJENE_VREDNOSTI!F323</f>
        <v>117</v>
      </c>
      <c r="F434" s="92">
        <f>[1]USVOJENE_VREDNOSTI!G323</f>
        <v>2299</v>
      </c>
      <c r="G434" s="92" t="str">
        <f>[1]USVOJENE_VREDNOSTI!H323</f>
        <v>Београдски</v>
      </c>
    </row>
    <row r="435" spans="1:7">
      <c r="A435" s="92">
        <f>[1]USVOJENE_VREDNOSTI!B324</f>
        <v>126</v>
      </c>
      <c r="B435" s="209" t="str">
        <f>[1]USVOJENE_VREDNOSTI!C324</f>
        <v>Свилајнац</v>
      </c>
      <c r="C435" s="92">
        <f>[1]USVOJENE_VREDNOSTI!D324</f>
        <v>100</v>
      </c>
      <c r="D435" s="92" t="str">
        <f>[1]USVOJENE_VREDNOSTI!E324</f>
        <v>Ћуприја</v>
      </c>
      <c r="E435" s="92">
        <f>[1]USVOJENE_VREDNOSTI!F324</f>
        <v>124</v>
      </c>
      <c r="F435" s="92">
        <f>[1]USVOJENE_VREDNOSTI!G324</f>
        <v>2666.2</v>
      </c>
      <c r="G435" s="92" t="str">
        <f>[1]USVOJENE_VREDNOSTI!H324</f>
        <v>Поморавска</v>
      </c>
    </row>
    <row r="436" spans="1:7">
      <c r="A436" s="92">
        <f>[1]USVOJENE_VREDNOSTI!B325</f>
        <v>26</v>
      </c>
      <c r="B436" s="209" t="str">
        <f>[1]USVOJENE_VREDNOSTI!C325</f>
        <v>Сента</v>
      </c>
      <c r="C436" s="92">
        <f>[1]USVOJENE_VREDNOSTI!D325</f>
        <v>81</v>
      </c>
      <c r="D436" s="92" t="str">
        <f>[1]USVOJENE_VREDNOSTI!E325</f>
        <v>Палић</v>
      </c>
      <c r="E436" s="175">
        <f>[1]USVOJENE_VREDNOSTI!F325</f>
        <v>102</v>
      </c>
      <c r="F436" s="92">
        <f>[1]USVOJENE_VREDNOSTI!G325</f>
        <v>2779.2</v>
      </c>
      <c r="G436" s="92" t="str">
        <f>[1]USVOJENE_VREDNOSTI!H325</f>
        <v>Севернобанатска</v>
      </c>
    </row>
    <row r="437" spans="1:7">
      <c r="A437" s="92">
        <f>[1]USVOJENE_VREDNOSTI!B326</f>
        <v>9</v>
      </c>
      <c r="B437" s="92" t="str">
        <f>[1]USVOJENE_VREDNOSTI!C326</f>
        <v>Сечањ</v>
      </c>
      <c r="C437" s="92">
        <f>[1]USVOJENE_VREDNOSTI!D326</f>
        <v>77</v>
      </c>
      <c r="D437" s="92" t="str">
        <f>[1]USVOJENE_VREDNOSTI!E326</f>
        <v>Зрењанин</v>
      </c>
      <c r="E437" s="92">
        <f>[1]USVOJENE_VREDNOSTI!F326</f>
        <v>76</v>
      </c>
      <c r="F437" s="92">
        <f>[1]USVOJENE_VREDNOSTI!G326</f>
        <v>2589.6999999999998</v>
      </c>
      <c r="G437" s="92" t="str">
        <f>[1]USVOJENE_VREDNOSTI!H326</f>
        <v>Средњeбанатска</v>
      </c>
    </row>
    <row r="438" spans="1:7">
      <c r="A438" s="92">
        <f>[1]USVOJENE_VREDNOSTI!B327</f>
        <v>30</v>
      </c>
      <c r="B438" s="209" t="str">
        <f>[1]USVOJENE_VREDNOSTI!C327</f>
        <v>Смедерево</v>
      </c>
      <c r="C438" s="92">
        <f>[1]USVOJENE_VREDNOSTI!D327</f>
        <v>72</v>
      </c>
      <c r="D438" s="92" t="str">
        <f>[1]USVOJENE_VREDNOSTI!E327</f>
        <v>Смедеревска Паланка</v>
      </c>
      <c r="E438" s="92">
        <f>[1]USVOJENE_VREDNOSTI!F327</f>
        <v>125</v>
      </c>
      <c r="F438" s="92">
        <f>[1]USVOJENE_VREDNOSTI!G327</f>
        <v>2554.6</v>
      </c>
      <c r="G438" s="92" t="str">
        <f>[1]USVOJENE_VREDNOSTI!H327</f>
        <v>Подунавска</v>
      </c>
    </row>
    <row r="439" spans="1:7">
      <c r="A439" s="92">
        <f>[1]USVOJENE_VREDNOSTI!B328</f>
        <v>7</v>
      </c>
      <c r="B439" s="92" t="str">
        <f>[1]USVOJENE_VREDNOSTI!C328</f>
        <v>Смедеревска Паланка</v>
      </c>
      <c r="C439" s="92">
        <f>[1]USVOJENE_VREDNOSTI!D328</f>
        <v>125</v>
      </c>
      <c r="D439" s="92" t="str">
        <f>[1]USVOJENE_VREDNOSTI!E328</f>
        <v>Смедеревска Паланка</v>
      </c>
      <c r="E439" s="92">
        <f>[1]USVOJENE_VREDNOSTI!F328</f>
        <v>125</v>
      </c>
      <c r="F439" s="92">
        <f>[1]USVOJENE_VREDNOSTI!G328</f>
        <v>2554.6</v>
      </c>
      <c r="G439" s="92" t="str">
        <f>[1]USVOJENE_VREDNOSTI!H328</f>
        <v>Подунавска</v>
      </c>
    </row>
    <row r="440" spans="1:7">
      <c r="A440" s="92">
        <f>[1]USVOJENE_VREDNOSTI!B329</f>
        <v>17</v>
      </c>
      <c r="B440" s="209" t="str">
        <f>[1]USVOJENE_VREDNOSTI!C329</f>
        <v>Сокобања</v>
      </c>
      <c r="C440" s="92">
        <f>[1]USVOJENE_VREDNOSTI!D329</f>
        <v>369</v>
      </c>
      <c r="D440" s="92" t="str">
        <f>[1]USVOJENE_VREDNOSTI!E329</f>
        <v>Ниш</v>
      </c>
      <c r="E440" s="92">
        <f>[1]USVOJENE_VREDNOSTI!F329</f>
        <v>195</v>
      </c>
      <c r="F440" s="92">
        <f>[1]USVOJENE_VREDNOSTI!G329</f>
        <v>2476.6999999999998</v>
      </c>
      <c r="G440" s="92" t="str">
        <f>[1]USVOJENE_VREDNOSTI!H329</f>
        <v>Зајечарска</v>
      </c>
    </row>
    <row r="441" spans="1:7">
      <c r="A441" s="92">
        <f>[1]USVOJENE_VREDNOSTI!B330</f>
        <v>83</v>
      </c>
      <c r="B441" s="209" t="str">
        <f>[1]USVOJENE_VREDNOSTI!C330</f>
        <v>Сомбор</v>
      </c>
      <c r="C441" s="92">
        <f>[1]USVOJENE_VREDNOSTI!D330</f>
        <v>90</v>
      </c>
      <c r="D441" s="92" t="str">
        <f>[1]USVOJENE_VREDNOSTI!E330</f>
        <v>Сомбор</v>
      </c>
      <c r="E441" s="92">
        <f>[1]USVOJENE_VREDNOSTI!F330</f>
        <v>90</v>
      </c>
      <c r="F441" s="92">
        <f>[1]USVOJENE_VREDNOSTI!G330</f>
        <v>2686.2</v>
      </c>
      <c r="G441" s="92" t="str">
        <f>[1]USVOJENE_VREDNOSTI!H330</f>
        <v>Западнобачка</v>
      </c>
    </row>
    <row r="442" spans="1:7">
      <c r="A442" s="92">
        <f>[1]USVOJENE_VREDNOSTI!B331</f>
        <v>90</v>
      </c>
      <c r="B442" s="209" t="str">
        <f>[1]USVOJENE_VREDNOSTI!C331</f>
        <v>Србобран</v>
      </c>
      <c r="C442" s="92">
        <f>[1]USVOJENE_VREDNOSTI!D331</f>
        <v>82</v>
      </c>
      <c r="D442" s="92" t="str">
        <f>[1]USVOJENE_VREDNOSTI!E331</f>
        <v>Нови Сад</v>
      </c>
      <c r="E442" s="92">
        <f>[1]USVOJENE_VREDNOSTI!F331</f>
        <v>80</v>
      </c>
      <c r="F442" s="92">
        <f>[1]USVOJENE_VREDNOSTI!G331</f>
        <v>2604.1999999999998</v>
      </c>
      <c r="G442" s="92" t="str">
        <f>[1]USVOJENE_VREDNOSTI!H331</f>
        <v>Јужнобачка</v>
      </c>
    </row>
    <row r="443" spans="1:7">
      <c r="A443" s="92">
        <f>[1]USVOJENE_VREDNOSTI!B332</f>
        <v>91</v>
      </c>
      <c r="B443" s="209" t="str">
        <f>[1]USVOJENE_VREDNOSTI!C332</f>
        <v>Сремска Митровица</v>
      </c>
      <c r="C443" s="92">
        <f>[1]USVOJENE_VREDNOSTI!D332</f>
        <v>82</v>
      </c>
      <c r="D443" s="92" t="str">
        <f>[1]USVOJENE_VREDNOSTI!E332</f>
        <v>Сремска Митровица</v>
      </c>
      <c r="E443" s="92">
        <f>[1]USVOJENE_VREDNOSTI!F332</f>
        <v>82</v>
      </c>
      <c r="F443" s="92">
        <f>[1]USVOJENE_VREDNOSTI!G332</f>
        <v>2628.9</v>
      </c>
      <c r="G443" s="92" t="str">
        <f>[1]USVOJENE_VREDNOSTI!H332</f>
        <v>Сремска</v>
      </c>
    </row>
    <row r="444" spans="1:7">
      <c r="A444" s="92">
        <f>[1]USVOJENE_VREDNOSTI!B333</f>
        <v>124</v>
      </c>
      <c r="B444" s="209" t="str">
        <f>[1]USVOJENE_VREDNOSTI!C333</f>
        <v>Сремски Карловци</v>
      </c>
      <c r="C444" s="92">
        <f>[1]USVOJENE_VREDNOSTI!D333</f>
        <v>87</v>
      </c>
      <c r="D444" s="92" t="str">
        <f>[1]USVOJENE_VREDNOSTI!E333</f>
        <v>Нови Сад</v>
      </c>
      <c r="E444" s="92">
        <f>[1]USVOJENE_VREDNOSTI!F333</f>
        <v>80</v>
      </c>
      <c r="F444" s="92">
        <f>[1]USVOJENE_VREDNOSTI!G333</f>
        <v>2604.1999999999998</v>
      </c>
      <c r="G444" s="92" t="str">
        <f>[1]USVOJENE_VREDNOSTI!H333</f>
        <v>Јужнобачка</v>
      </c>
    </row>
    <row r="445" spans="1:7">
      <c r="A445" s="92">
        <f>[1]USVOJENE_VREDNOSTI!B334</f>
        <v>10</v>
      </c>
      <c r="B445" s="92" t="str">
        <f>[1]USVOJENE_VREDNOSTI!C334</f>
        <v>Стара Пазова</v>
      </c>
      <c r="C445" s="92">
        <f>[1]USVOJENE_VREDNOSTI!D334</f>
        <v>82</v>
      </c>
      <c r="D445" s="92" t="str">
        <f>[1]USVOJENE_VREDNOSTI!E334</f>
        <v>Сурчин</v>
      </c>
      <c r="E445" s="175">
        <f>[1]USVOJENE_VREDNOSTI!F334</f>
        <v>96</v>
      </c>
      <c r="F445" s="92">
        <f>[1]USVOJENE_VREDNOSTI!G334</f>
        <v>2482.5</v>
      </c>
      <c r="G445" s="92" t="str">
        <f>[1]USVOJENE_VREDNOSTI!H334</f>
        <v>Сремска</v>
      </c>
    </row>
    <row r="446" spans="1:7">
      <c r="A446" s="92">
        <f>[1]USVOJENE_VREDNOSTI!B335</f>
        <v>74</v>
      </c>
      <c r="B446" s="209" t="str">
        <f>[1]USVOJENE_VREDNOSTI!C335</f>
        <v>Суботица</v>
      </c>
      <c r="C446" s="92">
        <f>[1]USVOJENE_VREDNOSTI!D335</f>
        <v>109</v>
      </c>
      <c r="D446" s="92" t="str">
        <f>[1]USVOJENE_VREDNOSTI!E335</f>
        <v>Палић</v>
      </c>
      <c r="E446" s="175">
        <f>[1]USVOJENE_VREDNOSTI!F335</f>
        <v>102</v>
      </c>
      <c r="F446" s="92">
        <f>[1]USVOJENE_VREDNOSTI!G335</f>
        <v>2779.2</v>
      </c>
      <c r="G446" s="92" t="str">
        <f>[1]USVOJENE_VREDNOSTI!H335</f>
        <v>Севернобачка</v>
      </c>
    </row>
    <row r="447" spans="1:7">
      <c r="A447" s="92">
        <f>[1]USVOJENE_VREDNOSTI!B336</f>
        <v>121</v>
      </c>
      <c r="B447" s="209" t="str">
        <f>[1]USVOJENE_VREDNOSTI!C336</f>
        <v>Темерин</v>
      </c>
      <c r="C447" s="92">
        <f>[1]USVOJENE_VREDNOSTI!D336</f>
        <v>83</v>
      </c>
      <c r="D447" s="92" t="str">
        <f>[1]USVOJENE_VREDNOSTI!E336</f>
        <v>Нови Сад</v>
      </c>
      <c r="E447" s="92">
        <f>[1]USVOJENE_VREDNOSTI!F336</f>
        <v>80</v>
      </c>
      <c r="F447" s="92">
        <f>[1]USVOJENE_VREDNOSTI!G336</f>
        <v>2604.1999999999998</v>
      </c>
      <c r="G447" s="92" t="str">
        <f>[1]USVOJENE_VREDNOSTI!H336</f>
        <v>Јужнобачка</v>
      </c>
    </row>
    <row r="448" spans="1:7">
      <c r="A448" s="92">
        <f>[1]USVOJENE_VREDNOSTI!B337</f>
        <v>35</v>
      </c>
      <c r="B448" s="209" t="str">
        <f>[1]USVOJENE_VREDNOSTI!C337</f>
        <v>Тител</v>
      </c>
      <c r="C448" s="92">
        <f>[1]USVOJENE_VREDNOSTI!D337</f>
        <v>79</v>
      </c>
      <c r="D448" s="92" t="str">
        <f>[1]USVOJENE_VREDNOSTI!E337</f>
        <v>Зрењанин</v>
      </c>
      <c r="E448" s="92">
        <f>[1]USVOJENE_VREDNOSTI!F337</f>
        <v>76</v>
      </c>
      <c r="F448" s="92">
        <f>[1]USVOJENE_VREDNOSTI!G337</f>
        <v>2589.6999999999998</v>
      </c>
      <c r="G448" s="92" t="str">
        <f>[1]USVOJENE_VREDNOSTI!H337</f>
        <v>Јужнобачка</v>
      </c>
    </row>
    <row r="449" spans="1:7">
      <c r="A449" s="92">
        <f>[1]USVOJENE_VREDNOSTI!B338</f>
        <v>16</v>
      </c>
      <c r="B449" s="209" t="str">
        <f>[1]USVOJENE_VREDNOSTI!C338</f>
        <v>Топола</v>
      </c>
      <c r="C449" s="92">
        <f>[1]USVOJENE_VREDNOSTI!D338</f>
        <v>272</v>
      </c>
      <c r="D449" s="92" t="str">
        <f>[1]USVOJENE_VREDNOSTI!E338</f>
        <v>Смедеревска Паланка</v>
      </c>
      <c r="E449" s="92">
        <f>[1]USVOJENE_VREDNOSTI!F338</f>
        <v>125</v>
      </c>
      <c r="F449" s="92">
        <f>[1]USVOJENE_VREDNOSTI!G338</f>
        <v>2554.6</v>
      </c>
      <c r="G449" s="92" t="str">
        <f>[1]USVOJENE_VREDNOSTI!H338</f>
        <v>Шумадијска</v>
      </c>
    </row>
    <row r="450" spans="1:7">
      <c r="A450" s="92">
        <f>[1]USVOJENE_VREDNOSTI!B339</f>
        <v>8</v>
      </c>
      <c r="B450" s="92" t="str">
        <f>[1]USVOJENE_VREDNOSTI!C339</f>
        <v>Трговиште</v>
      </c>
      <c r="C450" s="92">
        <f>[1]USVOJENE_VREDNOSTI!D339</f>
        <v>805</v>
      </c>
      <c r="D450" s="92" t="str">
        <f>[1]USVOJENE_VREDNOSTI!E339</f>
        <v>Врање</v>
      </c>
      <c r="E450" s="92">
        <f>[1]USVOJENE_VREDNOSTI!F339</f>
        <v>487</v>
      </c>
      <c r="F450" s="92">
        <f>[1]USVOJENE_VREDNOSTI!G339</f>
        <v>2662.9</v>
      </c>
      <c r="G450" s="92" t="str">
        <f>[1]USVOJENE_VREDNOSTI!H339</f>
        <v>Пчињска</v>
      </c>
    </row>
    <row r="451" spans="1:7">
      <c r="A451" s="92">
        <f>[1]USVOJENE_VREDNOSTI!B340</f>
        <v>86</v>
      </c>
      <c r="B451" s="209" t="str">
        <f>[1]USVOJENE_VREDNOSTI!C340</f>
        <v>Трстеник</v>
      </c>
      <c r="C451" s="92">
        <f>[1]USVOJENE_VREDNOSTI!D340</f>
        <v>172</v>
      </c>
      <c r="D451" s="92" t="str">
        <f>[1]USVOJENE_VREDNOSTI!E340</f>
        <v>Крушевац</v>
      </c>
      <c r="E451" s="92">
        <f>[1]USVOJENE_VREDNOSTI!F340</f>
        <v>163</v>
      </c>
      <c r="F451" s="92">
        <f>[1]USVOJENE_VREDNOSTI!G340</f>
        <v>2588.6</v>
      </c>
      <c r="G451" s="92" t="str">
        <f>[1]USVOJENE_VREDNOSTI!H340</f>
        <v>Расинска</v>
      </c>
    </row>
    <row r="452" spans="1:7">
      <c r="A452" s="92">
        <f>[1]USVOJENE_VREDNOSTI!B341</f>
        <v>120</v>
      </c>
      <c r="B452" s="209" t="str">
        <f>[1]USVOJENE_VREDNOSTI!C341</f>
        <v>Тутин</v>
      </c>
      <c r="C452" s="92">
        <f>[1]USVOJENE_VREDNOSTI!D341</f>
        <v>867</v>
      </c>
      <c r="D452" s="92" t="str">
        <f>[1]USVOJENE_VREDNOSTI!E341</f>
        <v>Сјеница</v>
      </c>
      <c r="E452" s="175">
        <f>[1]USVOJENE_VREDNOSTI!F341</f>
        <v>1038</v>
      </c>
      <c r="F452" s="92">
        <f>[1]USVOJENE_VREDNOSTI!G341</f>
        <v>3956</v>
      </c>
      <c r="G452" s="92" t="str">
        <f>[1]USVOJENE_VREDNOSTI!H341</f>
        <v>Рашка</v>
      </c>
    </row>
    <row r="453" spans="1:7">
      <c r="A453" s="92">
        <f>[1]USVOJENE_VREDNOSTI!B342</f>
        <v>3</v>
      </c>
      <c r="B453" s="92" t="str">
        <f>[1]USVOJENE_VREDNOSTI!C342</f>
        <v>Ћуприја</v>
      </c>
      <c r="C453" s="92">
        <f>[1]USVOJENE_VREDNOSTI!D342</f>
        <v>124</v>
      </c>
      <c r="D453" s="92" t="str">
        <f>[1]USVOJENE_VREDNOSTI!E342</f>
        <v>Ћуприја</v>
      </c>
      <c r="E453" s="92">
        <f>[1]USVOJENE_VREDNOSTI!F342</f>
        <v>124</v>
      </c>
      <c r="F453" s="92">
        <f>[1]USVOJENE_VREDNOSTI!G342</f>
        <v>2666.2</v>
      </c>
      <c r="G453" s="92" t="str">
        <f>[1]USVOJENE_VREDNOSTI!H342</f>
        <v>Поморавска</v>
      </c>
    </row>
    <row r="454" spans="1:7">
      <c r="A454" s="92">
        <f>[1]USVOJENE_VREDNOSTI!B343</f>
        <v>45</v>
      </c>
      <c r="B454" s="209" t="str">
        <f>[1]USVOJENE_VREDNOSTI!C343</f>
        <v>Ужице</v>
      </c>
      <c r="C454" s="92">
        <f>[1]USVOJENE_VREDNOSTI!D343</f>
        <v>411</v>
      </c>
      <c r="D454" s="92" t="str">
        <f>[1]USVOJENE_VREDNOSTI!E343</f>
        <v>Пожега</v>
      </c>
      <c r="E454" s="92">
        <f>[1]USVOJENE_VREDNOSTI!F343</f>
        <v>315</v>
      </c>
      <c r="F454" s="92">
        <f>[1]USVOJENE_VREDNOSTI!G343</f>
        <v>3062</v>
      </c>
      <c r="G454" s="92" t="str">
        <f>[1]USVOJENE_VREDNOSTI!H343</f>
        <v>Златиборска</v>
      </c>
    </row>
    <row r="455" spans="1:7">
      <c r="A455" s="92">
        <f>[1]USVOJENE_VREDNOSTI!B344</f>
        <v>82</v>
      </c>
      <c r="B455" s="209" t="str">
        <f>[1]USVOJENE_VREDNOSTI!C344</f>
        <v>Чајетина</v>
      </c>
      <c r="C455" s="92">
        <f>[1]USVOJENE_VREDNOSTI!D344</f>
        <v>843</v>
      </c>
      <c r="D455" s="92" t="str">
        <f>[1]USVOJENE_VREDNOSTI!E344</f>
        <v>Златибор</v>
      </c>
      <c r="E455" s="175">
        <f>[1]USVOJENE_VREDNOSTI!F344</f>
        <v>1028</v>
      </c>
      <c r="F455" s="92">
        <f>[1]USVOJENE_VREDNOSTI!G344</f>
        <v>3633.9</v>
      </c>
      <c r="G455" s="92" t="str">
        <f>[1]USVOJENE_VREDNOSTI!H344</f>
        <v>Златиборска</v>
      </c>
    </row>
    <row r="456" spans="1:7">
      <c r="A456" s="92">
        <f>[1]USVOJENE_VREDNOSTI!B345</f>
        <v>81</v>
      </c>
      <c r="B456" s="209" t="str">
        <f>[1]USVOJENE_VREDNOSTI!C345</f>
        <v>Чачак</v>
      </c>
      <c r="C456" s="92">
        <f>[1]USVOJENE_VREDNOSTI!D345</f>
        <v>242</v>
      </c>
      <c r="D456" s="92" t="str">
        <f>[1]USVOJENE_VREDNOSTI!E345</f>
        <v>Пожега</v>
      </c>
      <c r="E456" s="92">
        <f>[1]USVOJENE_VREDNOSTI!F345</f>
        <v>315</v>
      </c>
      <c r="F456" s="92">
        <f>[1]USVOJENE_VREDNOSTI!G345</f>
        <v>3062</v>
      </c>
      <c r="G456" s="92" t="str">
        <f>[1]USVOJENE_VREDNOSTI!H345</f>
        <v>Моравичка</v>
      </c>
    </row>
    <row r="457" spans="1:7">
      <c r="A457" s="92">
        <f>[1]USVOJENE_VREDNOSTI!B346</f>
        <v>84</v>
      </c>
      <c r="B457" s="209" t="str">
        <f>[1]USVOJENE_VREDNOSTI!C346</f>
        <v>Шабац</v>
      </c>
      <c r="C457" s="92">
        <f>[1]USVOJENE_VREDNOSTI!D346</f>
        <v>83</v>
      </c>
      <c r="D457" s="92" t="str">
        <f>[1]USVOJENE_VREDNOSTI!E346</f>
        <v>Лозница</v>
      </c>
      <c r="E457" s="92">
        <f>[1]USVOJENE_VREDNOSTI!F346</f>
        <v>121</v>
      </c>
      <c r="F457" s="92">
        <f>[1]USVOJENE_VREDNOSTI!G346</f>
        <v>2478.6999999999998</v>
      </c>
      <c r="G457" s="92" t="str">
        <f>[1]USVOJENE_VREDNOSTI!H346</f>
        <v>Мачванска</v>
      </c>
    </row>
    <row r="458" spans="1:7">
      <c r="A458" s="92">
        <f>[1]USVOJENE_VREDNOSTI!B347</f>
        <v>50</v>
      </c>
      <c r="B458" s="209" t="str">
        <f>[1]USVOJENE_VREDNOSTI!C347</f>
        <v>Шид</v>
      </c>
      <c r="C458" s="92">
        <f>[1]USVOJENE_VREDNOSTI!D347</f>
        <v>98</v>
      </c>
      <c r="D458" s="92" t="str">
        <f>[1]USVOJENE_VREDNOSTI!E347</f>
        <v>Сремска Митровица</v>
      </c>
      <c r="E458" s="92">
        <f>[1]USVOJENE_VREDNOSTI!F347</f>
        <v>82</v>
      </c>
      <c r="F458" s="92">
        <f>[1]USVOJENE_VREDNOSTI!G347</f>
        <v>2628.9</v>
      </c>
      <c r="G458" s="92" t="str">
        <f>[1]USVOJENE_VREDNOSTI!H347</f>
        <v>Сремска</v>
      </c>
    </row>
    <row r="459" spans="1:7">
      <c r="E459" t="s">
        <v>415</v>
      </c>
      <c r="F459" s="175">
        <f>AVERAGE(F328:F458)</f>
        <v>2677.1511450381695</v>
      </c>
    </row>
    <row r="461" spans="1:7" ht="23.4">
      <c r="A461" s="64" t="s">
        <v>342</v>
      </c>
    </row>
    <row r="463" spans="1:7" ht="28.8">
      <c r="A463" s="34"/>
      <c r="B463" s="35" t="s">
        <v>164</v>
      </c>
      <c r="C463" s="36" t="s">
        <v>165</v>
      </c>
      <c r="D463" s="36" t="s">
        <v>166</v>
      </c>
      <c r="E463" s="37" t="s">
        <v>167</v>
      </c>
      <c r="F463" s="38" t="s">
        <v>168</v>
      </c>
    </row>
    <row r="464" spans="1:7">
      <c r="A464" s="39">
        <f>[1]USVOJENE_VREDNOSTI!B351</f>
        <v>1</v>
      </c>
      <c r="B464" s="40" t="str">
        <f>[1]USVOJENE_VREDNOSTI!C351</f>
        <v>Банатски Карловац</v>
      </c>
      <c r="C464" s="41">
        <f>[1]USVOJENE_VREDNOSTI!D351</f>
        <v>21.027799999999999</v>
      </c>
      <c r="D464" s="41">
        <f>[1]USVOJENE_VREDNOSTI!E351</f>
        <v>45.0501</v>
      </c>
      <c r="E464" s="41">
        <f>[1]USVOJENE_VREDNOSTI!F351</f>
        <v>89</v>
      </c>
      <c r="F464" s="46">
        <f>[1]USVOJENE_VREDNOSTI!G351</f>
        <v>2596.4</v>
      </c>
    </row>
    <row r="465" spans="1:6">
      <c r="A465" s="39">
        <f>[1]USVOJENE_VREDNOSTI!B352</f>
        <v>2</v>
      </c>
      <c r="B465" s="47" t="str">
        <f>[1]USVOJENE_VREDNOSTI!C352</f>
        <v>Београд</v>
      </c>
      <c r="C465" s="41">
        <f>[1]USVOJENE_VREDNOSTI!D352</f>
        <v>20.466799999999999</v>
      </c>
      <c r="D465" s="41">
        <f>[1]USVOJENE_VREDNOSTI!E352</f>
        <v>44.796399999999998</v>
      </c>
      <c r="E465" s="41">
        <f>[1]USVOJENE_VREDNOSTI!F352</f>
        <v>132</v>
      </c>
      <c r="F465" s="46">
        <f>[1]USVOJENE_VREDNOSTI!G352</f>
        <v>2299</v>
      </c>
    </row>
    <row r="466" spans="1:6">
      <c r="A466" s="39">
        <f>[1]USVOJENE_VREDNOSTI!B353</f>
        <v>3</v>
      </c>
      <c r="B466" s="40" t="str">
        <f>[1]USVOJENE_VREDNOSTI!C353</f>
        <v>Велико Градиште</v>
      </c>
      <c r="C466" s="41">
        <f>[1]USVOJENE_VREDNOSTI!D353</f>
        <v>21.5108</v>
      </c>
      <c r="D466" s="41">
        <f>[1]USVOJENE_VREDNOSTI!E353</f>
        <v>44.746400000000001</v>
      </c>
      <c r="E466" s="41">
        <f>[1]USVOJENE_VREDNOSTI!F353</f>
        <v>82</v>
      </c>
      <c r="F466" s="46">
        <f>[1]USVOJENE_VREDNOSTI!G353</f>
        <v>2629.5</v>
      </c>
    </row>
    <row r="467" spans="1:6">
      <c r="A467" s="39">
        <f>[1]USVOJENE_VREDNOSTI!B354</f>
        <v>4</v>
      </c>
      <c r="B467" s="40" t="str">
        <f>[1]USVOJENE_VREDNOSTI!C354</f>
        <v>Ваљево</v>
      </c>
      <c r="C467" s="41">
        <f>[1]USVOJENE_VREDNOSTI!D354</f>
        <v>19.910599999999999</v>
      </c>
      <c r="D467" s="41">
        <f>[1]USVOJENE_VREDNOSTI!E354</f>
        <v>44.279800000000002</v>
      </c>
      <c r="E467" s="41">
        <f>[1]USVOJENE_VREDNOSTI!F354</f>
        <v>176</v>
      </c>
      <c r="F467" s="46">
        <f>[1]USVOJENE_VREDNOSTI!G354</f>
        <v>2557.6</v>
      </c>
    </row>
    <row r="468" spans="1:6">
      <c r="A468" s="39">
        <f>[1]USVOJENE_VREDNOSTI!B355</f>
        <v>5</v>
      </c>
      <c r="B468" s="40" t="str">
        <f>[1]USVOJENE_VREDNOSTI!C355</f>
        <v>Врање</v>
      </c>
      <c r="C468" s="41">
        <f>[1]USVOJENE_VREDNOSTI!D355</f>
        <v>21.916899999999998</v>
      </c>
      <c r="D468" s="41">
        <f>[1]USVOJENE_VREDNOSTI!E355</f>
        <v>42.55</v>
      </c>
      <c r="E468" s="41">
        <f>[1]USVOJENE_VREDNOSTI!F355</f>
        <v>432</v>
      </c>
      <c r="F468" s="46">
        <f>[1]USVOJENE_VREDNOSTI!G355</f>
        <v>2662.9</v>
      </c>
    </row>
    <row r="469" spans="1:6">
      <c r="A469" s="39">
        <f>[1]USVOJENE_VREDNOSTI!B356</f>
        <v>6</v>
      </c>
      <c r="B469" s="40" t="str">
        <f>[1]USVOJENE_VREDNOSTI!C356</f>
        <v>Димитровград</v>
      </c>
      <c r="C469" s="41">
        <f>[1]USVOJENE_VREDNOSTI!D356</f>
        <v>22.789100000000001</v>
      </c>
      <c r="D469" s="41">
        <f>[1]USVOJENE_VREDNOSTI!E356</f>
        <v>43.013199999999998</v>
      </c>
      <c r="E469" s="41">
        <f>[1]USVOJENE_VREDNOSTI!F356</f>
        <v>450</v>
      </c>
      <c r="F469" s="46">
        <f>[1]USVOJENE_VREDNOSTI!G356</f>
        <v>2957.7</v>
      </c>
    </row>
    <row r="470" spans="1:6">
      <c r="A470" s="39">
        <f>[1]USVOJENE_VREDNOSTI!B357</f>
        <v>7</v>
      </c>
      <c r="B470" s="40" t="str">
        <f>[1]USVOJENE_VREDNOSTI!C357</f>
        <v>Зајечар</v>
      </c>
      <c r="C470" s="41">
        <f>[1]USVOJENE_VREDNOSTI!D357</f>
        <v>22.292400000000001</v>
      </c>
      <c r="D470" s="41">
        <f>[1]USVOJENE_VREDNOSTI!E357</f>
        <v>43.879899999999999</v>
      </c>
      <c r="E470" s="41">
        <f>[1]USVOJENE_VREDNOSTI!F357</f>
        <v>144</v>
      </c>
      <c r="F470" s="46">
        <f>[1]USVOJENE_VREDNOSTI!G357</f>
        <v>2792.3</v>
      </c>
    </row>
    <row r="471" spans="1:6">
      <c r="A471" s="39">
        <f>[1]USVOJENE_VREDNOSTI!B358</f>
        <v>8</v>
      </c>
      <c r="B471" s="40" t="str">
        <f>[1]USVOJENE_VREDNOSTI!C358</f>
        <v>Златибор</v>
      </c>
      <c r="C471" s="41">
        <f>[1]USVOJENE_VREDNOSTI!D358</f>
        <v>19.716699999999999</v>
      </c>
      <c r="D471" s="41">
        <f>[1]USVOJENE_VREDNOSTI!E358</f>
        <v>43.7333</v>
      </c>
      <c r="E471" s="41">
        <f>[1]USVOJENE_VREDNOSTI!F358</f>
        <v>1028</v>
      </c>
      <c r="F471" s="46">
        <f>[1]USVOJENE_VREDNOSTI!G358</f>
        <v>3633.9</v>
      </c>
    </row>
    <row r="472" spans="1:6">
      <c r="A472" s="39">
        <f>[1]USVOJENE_VREDNOSTI!B359</f>
        <v>9</v>
      </c>
      <c r="B472" s="40" t="str">
        <f>[1]USVOJENE_VREDNOSTI!C359</f>
        <v>Зрењанин</v>
      </c>
      <c r="C472" s="41">
        <f>[1]USVOJENE_VREDNOSTI!D359</f>
        <v>20.357600000000001</v>
      </c>
      <c r="D472" s="41">
        <f>[1]USVOJENE_VREDNOSTI!E359</f>
        <v>45.396299999999997</v>
      </c>
      <c r="E472" s="41">
        <f>[1]USVOJENE_VREDNOSTI!F359</f>
        <v>80</v>
      </c>
      <c r="F472" s="46">
        <f>[1]USVOJENE_VREDNOSTI!G359</f>
        <v>2589.6999999999998</v>
      </c>
    </row>
    <row r="473" spans="1:6">
      <c r="A473" s="39">
        <f>[1]USVOJENE_VREDNOSTI!B360</f>
        <v>10</v>
      </c>
      <c r="B473" s="40" t="str">
        <f>[1]USVOJENE_VREDNOSTI!C360</f>
        <v>Кикинда</v>
      </c>
      <c r="C473" s="41">
        <f>[1]USVOJENE_VREDNOSTI!D360</f>
        <v>20.476500000000001</v>
      </c>
      <c r="D473" s="41">
        <f>[1]USVOJENE_VREDNOSTI!E360</f>
        <v>45.846299999999999</v>
      </c>
      <c r="E473" s="41">
        <f>[1]USVOJENE_VREDNOSTI!F360</f>
        <v>81</v>
      </c>
      <c r="F473" s="46">
        <f>[1]USVOJENE_VREDNOSTI!G360</f>
        <v>2644.2</v>
      </c>
    </row>
    <row r="474" spans="1:6">
      <c r="A474" s="39">
        <f>[1]USVOJENE_VREDNOSTI!B361</f>
        <v>11</v>
      </c>
      <c r="B474" s="40" t="str">
        <f>[1]USVOJENE_VREDNOSTI!C361</f>
        <v>Копаоник</v>
      </c>
      <c r="C474" s="41">
        <f>[1]USVOJENE_VREDNOSTI!D361</f>
        <v>20.8</v>
      </c>
      <c r="D474" s="41">
        <f>[1]USVOJENE_VREDNOSTI!E361</f>
        <v>43.283000000000001</v>
      </c>
      <c r="E474" s="41">
        <f>[1]USVOJENE_VREDNOSTI!F361</f>
        <v>1710</v>
      </c>
      <c r="F474" s="46">
        <f>[1]USVOJENE_VREDNOSTI!G361</f>
        <v>5143.7</v>
      </c>
    </row>
    <row r="475" spans="1:6">
      <c r="A475" s="39">
        <f>[1]USVOJENE_VREDNOSTI!B362</f>
        <v>12</v>
      </c>
      <c r="B475" s="40" t="str">
        <f>[1]USVOJENE_VREDNOSTI!C362</f>
        <v>Крагујевац</v>
      </c>
      <c r="C475" s="41">
        <f>[1]USVOJENE_VREDNOSTI!D362</f>
        <v>20.9297</v>
      </c>
      <c r="D475" s="41">
        <f>[1]USVOJENE_VREDNOSTI!E362</f>
        <v>44.029800000000002</v>
      </c>
      <c r="E475" s="41">
        <f>[1]USVOJENE_VREDNOSTI!F362</f>
        <v>185</v>
      </c>
      <c r="F475" s="46">
        <f>[1]USVOJENE_VREDNOSTI!G362</f>
        <v>2530.9</v>
      </c>
    </row>
    <row r="476" spans="1:6">
      <c r="A476" s="39">
        <f>[1]USVOJENE_VREDNOSTI!B363</f>
        <v>13</v>
      </c>
      <c r="B476" s="40" t="str">
        <f>[1]USVOJENE_VREDNOSTI!C363</f>
        <v>Краљево</v>
      </c>
      <c r="C476" s="41">
        <f>[1]USVOJENE_VREDNOSTI!D363</f>
        <v>20.693200000000001</v>
      </c>
      <c r="D476" s="41">
        <f>[1]USVOJENE_VREDNOSTI!E363</f>
        <v>43.713200000000001</v>
      </c>
      <c r="E476" s="41">
        <f>[1]USVOJENE_VREDNOSTI!F363</f>
        <v>215</v>
      </c>
      <c r="F476" s="46">
        <f>[1]USVOJENE_VREDNOSTI!G363</f>
        <v>2579.4</v>
      </c>
    </row>
    <row r="477" spans="1:6">
      <c r="A477" s="39">
        <f>[1]USVOJENE_VREDNOSTI!B364</f>
        <v>14</v>
      </c>
      <c r="B477" s="40" t="str">
        <f>[1]USVOJENE_VREDNOSTI!C364</f>
        <v>Крушевац</v>
      </c>
      <c r="C477" s="41">
        <f>[1]USVOJENE_VREDNOSTI!D364</f>
        <v>21.3521</v>
      </c>
      <c r="D477" s="41">
        <f>[1]USVOJENE_VREDNOSTI!E364</f>
        <v>43.563200000000002</v>
      </c>
      <c r="E477" s="41">
        <f>[1]USVOJENE_VREDNOSTI!F364</f>
        <v>166</v>
      </c>
      <c r="F477" s="46">
        <f>[1]USVOJENE_VREDNOSTI!G364</f>
        <v>2588.6</v>
      </c>
    </row>
    <row r="478" spans="1:6">
      <c r="A478" s="39">
        <f>[1]USVOJENE_VREDNOSTI!B365</f>
        <v>15</v>
      </c>
      <c r="B478" s="40" t="str">
        <f>[1]USVOJENE_VREDNOSTI!C365</f>
        <v>Куршумлија</v>
      </c>
      <c r="C478" s="41">
        <f>[1]USVOJENE_VREDNOSTI!D365</f>
        <v>21.266999999999999</v>
      </c>
      <c r="D478" s="41">
        <f>[1]USVOJENE_VREDNOSTI!E365</f>
        <v>43.133000000000003</v>
      </c>
      <c r="E478" s="41">
        <f>[1]USVOJENE_VREDNOSTI!F365</f>
        <v>380</v>
      </c>
      <c r="F478" s="46">
        <f>[1]USVOJENE_VREDNOSTI!G365</f>
        <v>2823.3</v>
      </c>
    </row>
    <row r="479" spans="1:6">
      <c r="A479" s="39">
        <f>[1]USVOJENE_VREDNOSTI!B366</f>
        <v>16</v>
      </c>
      <c r="B479" s="40" t="str">
        <f>[1]USVOJENE_VREDNOSTI!C366</f>
        <v>Лесковац</v>
      </c>
      <c r="C479" s="41">
        <f>[1]USVOJENE_VREDNOSTI!D366</f>
        <v>21.970300000000002</v>
      </c>
      <c r="D479" s="41">
        <f>[1]USVOJENE_VREDNOSTI!E366</f>
        <v>42.979900000000001</v>
      </c>
      <c r="E479" s="41">
        <f>[1]USVOJENE_VREDNOSTI!F366</f>
        <v>230</v>
      </c>
      <c r="F479" s="46">
        <f>[1]USVOJENE_VREDNOSTI!G366</f>
        <v>2681.2</v>
      </c>
    </row>
    <row r="480" spans="1:6">
      <c r="A480" s="39">
        <f>[1]USVOJENE_VREDNOSTI!B367</f>
        <v>17</v>
      </c>
      <c r="B480" s="40" t="str">
        <f>[1]USVOJENE_VREDNOSTI!C367</f>
        <v>Лозница</v>
      </c>
      <c r="C480" s="41">
        <f>[1]USVOJENE_VREDNOSTI!D367</f>
        <v>19.2333</v>
      </c>
      <c r="D480" s="41">
        <f>[1]USVOJENE_VREDNOSTI!E367</f>
        <v>44.55</v>
      </c>
      <c r="E480" s="41">
        <f>[1]USVOJENE_VREDNOSTI!F367</f>
        <v>121</v>
      </c>
      <c r="F480" s="46">
        <f>[1]USVOJENE_VREDNOSTI!G367</f>
        <v>2478.6999999999998</v>
      </c>
    </row>
    <row r="481" spans="1:6">
      <c r="A481" s="39">
        <f>[1]USVOJENE_VREDNOSTI!B368</f>
        <v>18</v>
      </c>
      <c r="B481" s="40" t="str">
        <f>[1]USVOJENE_VREDNOSTI!C368</f>
        <v>Неготин</v>
      </c>
      <c r="C481" s="41">
        <f>[1]USVOJENE_VREDNOSTI!D368</f>
        <v>22.552499999999998</v>
      </c>
      <c r="D481" s="41">
        <f>[1]USVOJENE_VREDNOSTI!E368</f>
        <v>44.229799999999997</v>
      </c>
      <c r="E481" s="41">
        <f>[1]USVOJENE_VREDNOSTI!F368</f>
        <v>42</v>
      </c>
      <c r="F481" s="46">
        <f>[1]USVOJENE_VREDNOSTI!G368</f>
        <v>2567.9</v>
      </c>
    </row>
    <row r="482" spans="1:6">
      <c r="A482" s="39">
        <f>[1]USVOJENE_VREDNOSTI!B369</f>
        <v>19</v>
      </c>
      <c r="B482" s="40" t="str">
        <f>[1]USVOJENE_VREDNOSTI!C369</f>
        <v>Ниш</v>
      </c>
      <c r="C482" s="41">
        <f>[1]USVOJENE_VREDNOSTI!D369</f>
        <v>21.913799999999998</v>
      </c>
      <c r="D482" s="41">
        <f>[1]USVOJENE_VREDNOSTI!E369</f>
        <v>43.329799999999999</v>
      </c>
      <c r="E482" s="41">
        <f>[1]USVOJENE_VREDNOSTI!F369</f>
        <v>201</v>
      </c>
      <c r="F482" s="46">
        <f>[1]USVOJENE_VREDNOSTI!G369</f>
        <v>2476.6999999999998</v>
      </c>
    </row>
    <row r="483" spans="1:6">
      <c r="A483" s="39">
        <f>[1]USVOJENE_VREDNOSTI!B370</f>
        <v>20</v>
      </c>
      <c r="B483" s="40" t="str">
        <f>[1]USVOJENE_VREDNOSTI!C370</f>
        <v>Нови Сад</v>
      </c>
      <c r="C483" s="41">
        <f>[1]USVOJENE_VREDNOSTI!D370</f>
        <v>19.8644</v>
      </c>
      <c r="D483" s="41">
        <f>[1]USVOJENE_VREDNOSTI!E370</f>
        <v>45.329700000000003</v>
      </c>
      <c r="E483" s="41">
        <f>[1]USVOJENE_VREDNOSTI!F370</f>
        <v>84</v>
      </c>
      <c r="F483" s="46">
        <f>[1]USVOJENE_VREDNOSTI!G370</f>
        <v>2604.1999999999998</v>
      </c>
    </row>
    <row r="484" spans="1:6">
      <c r="A484" s="39">
        <f>[1]USVOJENE_VREDNOSTI!B371</f>
        <v>21</v>
      </c>
      <c r="B484" s="40" t="str">
        <f>[1]USVOJENE_VREDNOSTI!C371</f>
        <v>Палић</v>
      </c>
      <c r="C484" s="41">
        <f>[1]USVOJENE_VREDNOSTI!D371</f>
        <v>19.7667</v>
      </c>
      <c r="D484" s="41">
        <f>[1]USVOJENE_VREDNOSTI!E371</f>
        <v>46.1</v>
      </c>
      <c r="E484" s="41">
        <f>[1]USVOJENE_VREDNOSTI!F371</f>
        <v>102</v>
      </c>
      <c r="F484" s="46">
        <f>[1]USVOJENE_VREDNOSTI!G371</f>
        <v>2779.2</v>
      </c>
    </row>
    <row r="485" spans="1:6">
      <c r="A485" s="39">
        <f>[1]USVOJENE_VREDNOSTI!B372</f>
        <v>22</v>
      </c>
      <c r="B485" s="40" t="str">
        <f>[1]USVOJENE_VREDNOSTI!C372</f>
        <v>Пожега</v>
      </c>
      <c r="C485" s="41">
        <f>[1]USVOJENE_VREDNOSTI!D372</f>
        <v>20.020099999999999</v>
      </c>
      <c r="D485" s="41">
        <f>[1]USVOJENE_VREDNOSTI!E372</f>
        <v>43.829799999999999</v>
      </c>
      <c r="E485" s="41">
        <f>[1]USVOJENE_VREDNOSTI!F372</f>
        <v>310</v>
      </c>
      <c r="F485" s="46">
        <f>[1]USVOJENE_VREDNOSTI!G372</f>
        <v>3062</v>
      </c>
    </row>
    <row r="486" spans="1:6">
      <c r="A486" s="39">
        <f>[1]USVOJENE_VREDNOSTI!B373</f>
        <v>23</v>
      </c>
      <c r="B486" s="40" t="str">
        <f>[1]USVOJENE_VREDNOSTI!C373</f>
        <v>Сремска Митровица</v>
      </c>
      <c r="C486" s="41">
        <f>[1]USVOJENE_VREDNOSTI!D373</f>
        <v>19.633299999999998</v>
      </c>
      <c r="D486" s="41">
        <f>[1]USVOJENE_VREDNOSTI!E373</f>
        <v>44.966700000000003</v>
      </c>
      <c r="E486" s="41">
        <f>[1]USVOJENE_VREDNOSTI!F373</f>
        <v>81</v>
      </c>
      <c r="F486" s="46">
        <f>[1]USVOJENE_VREDNOSTI!G373</f>
        <v>2628.9</v>
      </c>
    </row>
    <row r="487" spans="1:6">
      <c r="A487" s="39">
        <f>[1]USVOJENE_VREDNOSTI!B374</f>
        <v>24</v>
      </c>
      <c r="B487" s="40" t="str">
        <f>[1]USVOJENE_VREDNOSTI!C374</f>
        <v>Смедеревска Паланка</v>
      </c>
      <c r="C487" s="41">
        <f>[1]USVOJENE_VREDNOSTI!D374</f>
        <v>20.9468</v>
      </c>
      <c r="D487" s="41">
        <f>[1]USVOJENE_VREDNOSTI!E374</f>
        <v>44.363100000000003</v>
      </c>
      <c r="E487" s="41">
        <f>[1]USVOJENE_VREDNOSTI!F374</f>
        <v>122</v>
      </c>
      <c r="F487" s="46">
        <f>[1]USVOJENE_VREDNOSTI!G374</f>
        <v>2554.6</v>
      </c>
    </row>
    <row r="488" spans="1:6">
      <c r="A488" s="39">
        <f>[1]USVOJENE_VREDNOSTI!B375</f>
        <v>25</v>
      </c>
      <c r="B488" s="40" t="str">
        <f>[1]USVOJENE_VREDNOSTI!C375</f>
        <v>Сјеница</v>
      </c>
      <c r="C488" s="41">
        <f>[1]USVOJENE_VREDNOSTI!D375</f>
        <v>20.0167</v>
      </c>
      <c r="D488" s="41">
        <f>[1]USVOJENE_VREDNOSTI!E375</f>
        <v>43.2667</v>
      </c>
      <c r="E488" s="41">
        <f>[1]USVOJENE_VREDNOSTI!F375</f>
        <v>1038</v>
      </c>
      <c r="F488" s="46">
        <f>[1]USVOJENE_VREDNOSTI!G375</f>
        <v>3956</v>
      </c>
    </row>
    <row r="489" spans="1:6">
      <c r="A489" s="39">
        <f>[1]USVOJENE_VREDNOSTI!B376</f>
        <v>26</v>
      </c>
      <c r="B489" s="40" t="str">
        <f>[1]USVOJENE_VREDNOSTI!C376</f>
        <v>Сомбор</v>
      </c>
      <c r="C489" s="41">
        <f>[1]USVOJENE_VREDNOSTI!D376</f>
        <v>19.124700000000001</v>
      </c>
      <c r="D489" s="41">
        <f>[1]USVOJENE_VREDNOSTI!E376</f>
        <v>45.779699999999998</v>
      </c>
      <c r="E489" s="41">
        <f>[1]USVOJENE_VREDNOSTI!F376</f>
        <v>88</v>
      </c>
      <c r="F489" s="46">
        <f>[1]USVOJENE_VREDNOSTI!G376</f>
        <v>2686.2</v>
      </c>
    </row>
    <row r="490" spans="1:6">
      <c r="A490" s="39">
        <f>[1]USVOJENE_VREDNOSTI!B377</f>
        <v>27</v>
      </c>
      <c r="B490" s="40" t="str">
        <f>[1]USVOJENE_VREDNOSTI!C377</f>
        <v>Ћуприја</v>
      </c>
      <c r="C490" s="41">
        <f>[1]USVOJENE_VREDNOSTI!D377</f>
        <v>21.366700000000002</v>
      </c>
      <c r="D490" s="41">
        <f>[1]USVOJENE_VREDNOSTI!E377</f>
        <v>43.9298</v>
      </c>
      <c r="E490" s="41">
        <f>[1]USVOJENE_VREDNOSTI!F377</f>
        <v>123</v>
      </c>
      <c r="F490" s="46">
        <f>[1]USVOJENE_VREDNOSTI!G377</f>
        <v>2666.2</v>
      </c>
    </row>
    <row r="491" spans="1:6">
      <c r="A491" s="39">
        <f>[1]USVOJENE_VREDNOSTI!B378</f>
        <v>28</v>
      </c>
      <c r="B491" s="40" t="str">
        <f>[1]USVOJENE_VREDNOSTI!C378</f>
        <v>Црни Врх</v>
      </c>
      <c r="C491" s="41">
        <f>[1]USVOJENE_VREDNOSTI!D378</f>
        <v>21.964300000000001</v>
      </c>
      <c r="D491" s="41">
        <f>[1]USVOJENE_VREDNOSTI!E378</f>
        <v>44.1297</v>
      </c>
      <c r="E491" s="41">
        <f>[1]USVOJENE_VREDNOSTI!F378</f>
        <v>1033</v>
      </c>
      <c r="F491" s="46">
        <f>[1]USVOJENE_VREDNOSTI!G378</f>
        <v>4049</v>
      </c>
    </row>
    <row r="492" spans="1:6">
      <c r="A492" s="39">
        <f>[1]USVOJENE_VREDNOSTI!B379</f>
        <v>29</v>
      </c>
      <c r="B492" s="43" t="str">
        <f>[1]USVOJENE_VREDNOSTI!C379</f>
        <v>Вршац</v>
      </c>
      <c r="C492" s="44">
        <f>[1]USVOJENE_VREDNOSTI!D379</f>
        <v>21.316666666666666</v>
      </c>
      <c r="D492" s="44">
        <f>[1]USVOJENE_VREDNOSTI!E379</f>
        <v>45.15</v>
      </c>
      <c r="E492" s="44">
        <f>[1]USVOJENE_VREDNOSTI!F379</f>
        <v>84</v>
      </c>
      <c r="F492" s="46">
        <f>[1]USVOJENE_VREDNOSTI!G379</f>
        <v>2521</v>
      </c>
    </row>
    <row r="493" spans="1:6">
      <c r="A493" s="39">
        <f>[1]USVOJENE_VREDNOSTI!B380</f>
        <v>30</v>
      </c>
      <c r="B493" s="48" t="str">
        <f>[1]USVOJENE_VREDNOSTI!C380</f>
        <v>Сурчин</v>
      </c>
      <c r="C493" s="44">
        <f>[1]USVOJENE_VREDNOSTI!D380</f>
        <v>20.283333333333335</v>
      </c>
      <c r="D493" s="44">
        <f>[1]USVOJENE_VREDNOSTI!E380</f>
        <v>44.81666666666667</v>
      </c>
      <c r="E493" s="44">
        <f>[1]USVOJENE_VREDNOSTI!F380</f>
        <v>96</v>
      </c>
      <c r="F493" s="46">
        <f>[1]USVOJENE_VREDNOSTI!G380</f>
        <v>2482.5</v>
      </c>
    </row>
    <row r="494" spans="1:6">
      <c r="A494" s="39">
        <f>[1]USVOJENE_VREDNOSTI!B381</f>
        <v>31</v>
      </c>
      <c r="B494" s="48" t="str">
        <f>[1]USVOJENE_VREDNOSTI!C381</f>
        <v>Кошутњак</v>
      </c>
      <c r="C494" s="45">
        <f>[1]USVOJENE_VREDNOSTI!D381</f>
        <v>20.424374</v>
      </c>
      <c r="D494" s="44">
        <f>[1]USVOJENE_VREDNOSTI!E381</f>
        <v>44.770991670000001</v>
      </c>
      <c r="E494" s="44">
        <f>[1]USVOJENE_VREDNOSTI!F381</f>
        <v>193</v>
      </c>
      <c r="F494" s="46">
        <f>[1]USVOJENE_VREDNOSTI!G381</f>
        <v>2413.6999999999998</v>
      </c>
    </row>
    <row r="495" spans="1:6">
      <c r="A495" s="39">
        <f>[1]USVOJENE_VREDNOSTI!B382</f>
        <v>32</v>
      </c>
      <c r="B495" s="40" t="str">
        <f>[1]USVOJENE_VREDNOSTI!C382</f>
        <v>Блажево</v>
      </c>
      <c r="C495" s="41">
        <f>[1]USVOJENE_VREDNOSTI!D382</f>
        <v>20.933299999999999</v>
      </c>
      <c r="D495" s="41">
        <f>[1]USVOJENE_VREDNOSTI!E382</f>
        <v>43.2333</v>
      </c>
      <c r="E495" s="41">
        <f>[1]USVOJENE_VREDNOSTI!F382</f>
        <v>880</v>
      </c>
      <c r="F495" s="46">
        <f>[1]USVOJENE_VREDNOSTI!G382</f>
        <v>3364.6</v>
      </c>
    </row>
    <row r="496" spans="1:6">
      <c r="A496" s="39">
        <f>[1]USVOJENE_VREDNOSTI!B383</f>
        <v>33</v>
      </c>
      <c r="B496" s="40" t="str">
        <f>[1]USVOJENE_VREDNOSTI!C383</f>
        <v>Јошаничка Бања</v>
      </c>
      <c r="C496" s="41">
        <f>[1]USVOJENE_VREDNOSTI!D383</f>
        <v>20.75</v>
      </c>
      <c r="D496" s="41">
        <f>[1]USVOJENE_VREDNOSTI!E383</f>
        <v>43.383299999999998</v>
      </c>
      <c r="E496" s="41">
        <f>[1]USVOJENE_VREDNOSTI!F383</f>
        <v>555</v>
      </c>
      <c r="F496" s="46">
        <f>[1]USVOJENE_VREDNOSTI!G383</f>
        <v>3008.5</v>
      </c>
    </row>
    <row r="497" spans="1:6">
      <c r="A497" s="39">
        <f>[1]USVOJENE_VREDNOSTI!B384</f>
        <v>34</v>
      </c>
      <c r="B497" s="40" t="str">
        <f>[1]USVOJENE_VREDNOSTI!C384</f>
        <v>Каона</v>
      </c>
      <c r="C497" s="41">
        <f>[1]USVOJENE_VREDNOSTI!D384</f>
        <v>20.416699999999999</v>
      </c>
      <c r="D497" s="41">
        <f>[1]USVOJENE_VREDNOSTI!E384</f>
        <v>43.716700000000003</v>
      </c>
      <c r="E497" s="41">
        <f>[1]USVOJENE_VREDNOSTI!F384</f>
        <v>570</v>
      </c>
      <c r="F497" s="46">
        <f>[1]USVOJENE_VREDNOSTI!G384</f>
        <v>2913.9</v>
      </c>
    </row>
    <row r="498" spans="1:6">
      <c r="A498" s="39">
        <f>[1]USVOJENE_VREDNOSTI!B385</f>
        <v>35</v>
      </c>
      <c r="B498" s="40" t="str">
        <f>[1]USVOJENE_VREDNOSTI!C385</f>
        <v>Пирот</v>
      </c>
      <c r="C498" s="41">
        <f>[1]USVOJENE_VREDNOSTI!D385</f>
        <v>22.6</v>
      </c>
      <c r="D498" s="41">
        <f>[1]USVOJENE_VREDNOSTI!E385</f>
        <v>43.15</v>
      </c>
      <c r="E498" s="41">
        <f>[1]USVOJENE_VREDNOSTI!F385</f>
        <v>370</v>
      </c>
      <c r="F498" s="46">
        <f>[1]USVOJENE_VREDNOSTI!G385</f>
        <v>2613.1</v>
      </c>
    </row>
    <row r="499" spans="1:6">
      <c r="A499" s="39">
        <f>[1]USVOJENE_VREDNOSTI!B386</f>
        <v>36</v>
      </c>
      <c r="B499" s="43" t="str">
        <f>[1]USVOJENE_VREDNOSTI!C386</f>
        <v>Ратковић</v>
      </c>
      <c r="C499" s="45">
        <f>[1]USVOJENE_VREDNOSTI!D386</f>
        <v>21.020552779999999</v>
      </c>
      <c r="D499" s="45">
        <f>[1]USVOJENE_VREDNOSTI!E386</f>
        <v>43.91946944</v>
      </c>
      <c r="E499" s="44">
        <f>[1]USVOJENE_VREDNOSTI!F386</f>
        <v>419</v>
      </c>
      <c r="F499" s="46">
        <f>[1]USVOJENE_VREDNOSTI!G386</f>
        <v>3154</v>
      </c>
    </row>
    <row r="500" spans="1:6">
      <c r="A500" s="39">
        <f>[1]USVOJENE_VREDNOSTI!B387</f>
        <v>37</v>
      </c>
      <c r="B500" s="43" t="str">
        <f>[1]USVOJENE_VREDNOSTI!C387</f>
        <v>РЦ Кукавица</v>
      </c>
      <c r="C500" s="44">
        <f>[1]USVOJENE_VREDNOSTI!D387</f>
        <v>21.946391670000001</v>
      </c>
      <c r="D500" s="44">
        <f>[1]USVOJENE_VREDNOSTI!E387</f>
        <v>42.791288889999997</v>
      </c>
      <c r="E500" s="44">
        <f>[1]USVOJENE_VREDNOSTI!F387</f>
        <v>1438</v>
      </c>
      <c r="F500" s="42">
        <f>[1]USVOJENE_VREDNOSTI!G387</f>
        <v>4371.8999999999996</v>
      </c>
    </row>
    <row r="501" spans="1:6">
      <c r="A501" s="39">
        <f>[1]USVOJENE_VREDNOSTI!B388</f>
        <v>38</v>
      </c>
      <c r="B501" s="43" t="str">
        <f>[1]USVOJENE_VREDNOSTI!C388</f>
        <v>РЦ Сјеница</v>
      </c>
      <c r="C501" s="44">
        <f>[1]USVOJENE_VREDNOSTI!D388</f>
        <v>19.973280559999999</v>
      </c>
      <c r="D501" s="44">
        <f>[1]USVOJENE_VREDNOSTI!E388</f>
        <v>43.261741669999999</v>
      </c>
      <c r="E501" s="44">
        <f>[1]USVOJENE_VREDNOSTI!F388</f>
        <v>1240</v>
      </c>
      <c r="F501" s="42">
        <f>[1]USVOJENE_VREDNOSTI!G388</f>
        <v>3968.6</v>
      </c>
    </row>
    <row r="502" spans="1:6">
      <c r="A502" s="39">
        <f>[1]USVOJENE_VREDNOSTI!B389</f>
        <v>39</v>
      </c>
      <c r="B502" s="40" t="str">
        <f>[1]USVOJENE_VREDNOSTI!C389</f>
        <v>РЦ  Крушевац</v>
      </c>
      <c r="C502" s="41">
        <f>[1]USVOJENE_VREDNOSTI!D389</f>
        <v>21.266666666666666</v>
      </c>
      <c r="D502" s="41">
        <f>[1]USVOJENE_VREDNOSTI!E389</f>
        <v>43.616666666666667</v>
      </c>
      <c r="E502" s="41">
        <f>[1]USVOJENE_VREDNOSTI!F389</f>
        <v>403</v>
      </c>
      <c r="F502" s="42">
        <f>[1]USVOJENE_VREDNOSTI!G389</f>
        <v>2730.8</v>
      </c>
    </row>
    <row r="503" spans="1:6">
      <c r="A503" s="39">
        <f>[1]USVOJENE_VREDNOSTI!B390</f>
        <v>40</v>
      </c>
      <c r="B503" s="40" t="str">
        <f>[1]USVOJENE_VREDNOSTI!C390</f>
        <v>РЦ Ваљево</v>
      </c>
      <c r="C503" s="41">
        <f>[1]USVOJENE_VREDNOSTI!D390</f>
        <v>19.916666666666668</v>
      </c>
      <c r="D503" s="41">
        <f>[1]USVOJENE_VREDNOSTI!E390</f>
        <v>44.383333333333333</v>
      </c>
      <c r="E503" s="41">
        <f>[1]USVOJENE_VREDNOSTI!F390</f>
        <v>388</v>
      </c>
      <c r="F503" s="42">
        <f>[1]USVOJENE_VREDNOSTI!G390</f>
        <v>2610.4</v>
      </c>
    </row>
    <row r="504" spans="1:6">
      <c r="A504" s="39">
        <f>[1]USVOJENE_VREDNOSTI!B391</f>
        <v>41</v>
      </c>
      <c r="B504" s="40" t="str">
        <f>[1]USVOJENE_VREDNOSTI!C391</f>
        <v>РЦ Ниш</v>
      </c>
      <c r="C504" s="41">
        <f>[1]USVOJENE_VREDNOSTI!D391</f>
        <v>21.95</v>
      </c>
      <c r="D504" s="41">
        <f>[1]USVOJENE_VREDNOSTI!E391</f>
        <v>43.4</v>
      </c>
      <c r="E504" s="41">
        <f>[1]USVOJENE_VREDNOSTI!F391</f>
        <v>813</v>
      </c>
      <c r="F504" s="42">
        <f>[1]USVOJENE_VREDNOSTI!G391</f>
        <v>3388.3</v>
      </c>
    </row>
    <row r="505" spans="1:6">
      <c r="A505" s="39">
        <f>[1]USVOJENE_VREDNOSTI!B392</f>
        <v>42</v>
      </c>
      <c r="B505" s="40" t="str">
        <f>[1]USVOJENE_VREDNOSTI!C392</f>
        <v xml:space="preserve">РЦ Петровац </v>
      </c>
      <c r="C505" s="41">
        <f>[1]USVOJENE_VREDNOSTI!D392</f>
        <v>21.316666666666666</v>
      </c>
      <c r="D505" s="41">
        <f>[1]USVOJENE_VREDNOSTI!E392</f>
        <v>44.31666666666667</v>
      </c>
      <c r="E505" s="41">
        <f>[1]USVOJENE_VREDNOSTI!F392</f>
        <v>282</v>
      </c>
      <c r="F505" s="42">
        <f>[1]USVOJENE_VREDNOSTI!G392</f>
        <v>2593.9</v>
      </c>
    </row>
    <row r="506" spans="1:6">
      <c r="A506" s="39">
        <f>[1]USVOJENE_VREDNOSTI!B393</f>
        <v>43</v>
      </c>
      <c r="B506" s="40" t="str">
        <f>[1]USVOJENE_VREDNOSTI!C393</f>
        <v>РЦ Ужице</v>
      </c>
      <c r="C506" s="41">
        <f>[1]USVOJENE_VREDNOSTI!D393</f>
        <v>19.783333333333335</v>
      </c>
      <c r="D506" s="41">
        <f>[1]USVOJENE_VREDNOSTI!E393</f>
        <v>43.883333333333333</v>
      </c>
      <c r="E506" s="41">
        <f>[1]USVOJENE_VREDNOSTI!F393</f>
        <v>833</v>
      </c>
      <c r="F506" s="42">
        <f>[1]USVOJENE_VREDNOSTI!G393</f>
        <v>3190.6</v>
      </c>
    </row>
    <row r="507" spans="1:6">
      <c r="A507" s="39">
        <f>[1]USVOJENE_VREDNOSTI!B394</f>
        <v>44</v>
      </c>
      <c r="B507" s="40" t="str">
        <f>[1]USVOJENE_VREDNOSTI!C394</f>
        <v>Чумић</v>
      </c>
      <c r="C507" s="41">
        <f>[1]USVOJENE_VREDNOSTI!D394</f>
        <v>20.816700000000001</v>
      </c>
      <c r="D507" s="41">
        <f>[1]USVOJENE_VREDNOSTI!E394</f>
        <v>44.133299999999998</v>
      </c>
      <c r="E507" s="41">
        <f>[1]USVOJENE_VREDNOSTI!F394</f>
        <v>365</v>
      </c>
      <c r="F507" s="46">
        <f>[1]USVOJENE_VREDNOSTI!G394</f>
        <v>2681.3</v>
      </c>
    </row>
    <row r="508" spans="1:6">
      <c r="A508" s="39">
        <f>[1]USVOJENE_VREDNOSTI!B395</f>
        <v>45</v>
      </c>
      <c r="B508" s="40" t="str">
        <f>[1]USVOJENE_VREDNOSTI!C395</f>
        <v>Јастребац</v>
      </c>
      <c r="C508" s="41">
        <f>[1]USVOJENE_VREDNOSTI!D395</f>
        <v>21.383333333333333</v>
      </c>
      <c r="D508" s="41">
        <f>[1]USVOJENE_VREDNOSTI!E395</f>
        <v>43.43333333333333</v>
      </c>
      <c r="E508" s="41">
        <f>[1]USVOJENE_VREDNOSTI!F395</f>
        <v>575</v>
      </c>
      <c r="F508" s="46">
        <f>[1]USVOJENE_VREDNOSTI!G395</f>
        <v>2662.5</v>
      </c>
    </row>
    <row r="509" spans="1:6">
      <c r="A509" s="39">
        <f>[1]USVOJENE_VREDNOSTI!B396</f>
        <v>46</v>
      </c>
      <c r="B509" s="40" t="str">
        <f>[1]USVOJENE_VREDNOSTI!C396</f>
        <v>Карајукића Бунари</v>
      </c>
      <c r="C509" s="41">
        <f>[1]USVOJENE_VREDNOSTI!D396</f>
        <v>20.100000000000001</v>
      </c>
      <c r="D509" s="41">
        <f>[1]USVOJENE_VREDNOSTI!E396</f>
        <v>43.1</v>
      </c>
      <c r="E509" s="41">
        <f>[1]USVOJENE_VREDNOSTI!F396</f>
        <v>1165</v>
      </c>
      <c r="F509" s="46">
        <f>[1]USVOJENE_VREDNOSTI!G396</f>
        <v>4184.7</v>
      </c>
    </row>
    <row r="510" spans="1:6">
      <c r="A510" s="39">
        <f>[1]USVOJENE_VREDNOSTI!B397</f>
        <v>47</v>
      </c>
      <c r="B510" s="40" t="str">
        <f>[1]USVOJENE_VREDNOSTI!C397</f>
        <v>Крупањ</v>
      </c>
      <c r="C510" s="41">
        <f>[1]USVOJENE_VREDNOSTI!D397</f>
        <v>19.383333333333333</v>
      </c>
      <c r="D510" s="41">
        <f>[1]USVOJENE_VREDNOSTI!E397</f>
        <v>44.366666666666667</v>
      </c>
      <c r="E510" s="41">
        <f>[1]USVOJENE_VREDNOSTI!F397</f>
        <v>280</v>
      </c>
      <c r="F510" s="46">
        <f>[1]USVOJENE_VREDNOSTI!G397</f>
        <v>2956.4</v>
      </c>
    </row>
    <row r="511" spans="1:6">
      <c r="A511" s="39">
        <f>[1]USVOJENE_VREDNOSTI!B398</f>
        <v>48</v>
      </c>
      <c r="B511" s="40" t="str">
        <f>[1]USVOJENE_VREDNOSTI!C398</f>
        <v>Љубовија</v>
      </c>
      <c r="C511" s="41">
        <f>[1]USVOJENE_VREDNOSTI!D398</f>
        <v>19.383333333333333</v>
      </c>
      <c r="D511" s="41">
        <f>[1]USVOJENE_VREDNOSTI!E398</f>
        <v>44.18333333333333</v>
      </c>
      <c r="E511" s="41">
        <f>[1]USVOJENE_VREDNOSTI!F398</f>
        <v>170</v>
      </c>
      <c r="F511" s="46">
        <f>[1]USVOJENE_VREDNOSTI!G398</f>
        <v>2627.9</v>
      </c>
    </row>
  </sheetData>
  <sheetProtection algorithmName="SHA-512" hashValue="Z7khScTIQfHNSLW4iwh0mFcZAY4kg3FnlKZWLhQ9ylp4YO5A1knSx4QkhYJuo94BZd7Q/aQd02Z4gsz6116JjA==" saltValue="3MCxpB4tWttDF6RDmp76FQ==" spinCount="100000" sheet="1" objects="1" scenarios="1"/>
  <autoFilter ref="A327:G327" xr:uid="{7B2EA6FE-4D28-4651-9C09-1B6E5CA87535}"/>
  <sortState xmlns:xlrd2="http://schemas.microsoft.com/office/spreadsheetml/2017/richdata2" ref="A328:F458">
    <sortCondition ref="B328:B458"/>
  </sortState>
  <mergeCells count="41">
    <mergeCell ref="T48:U48"/>
    <mergeCell ref="AA45:AD45"/>
    <mergeCell ref="AA42:AD42"/>
    <mergeCell ref="T46:U46"/>
    <mergeCell ref="T47:U47"/>
    <mergeCell ref="T45:U45"/>
    <mergeCell ref="J288:J289"/>
    <mergeCell ref="B108:C108"/>
    <mergeCell ref="G49:J49"/>
    <mergeCell ref="K49:N49"/>
    <mergeCell ref="K74:L74"/>
    <mergeCell ref="K70:L70"/>
    <mergeCell ref="P36:Q36"/>
    <mergeCell ref="R50:S51"/>
    <mergeCell ref="H36:I36"/>
    <mergeCell ref="J36:K36"/>
    <mergeCell ref="L36:M36"/>
    <mergeCell ref="L19:N19"/>
    <mergeCell ref="O49:O51"/>
    <mergeCell ref="N36:O36"/>
    <mergeCell ref="K288:K289"/>
    <mergeCell ref="L288:L289"/>
    <mergeCell ref="Z50:AC50"/>
    <mergeCell ref="AF50:AK50"/>
    <mergeCell ref="AF56:AH56"/>
    <mergeCell ref="R288:R289"/>
    <mergeCell ref="K266:V266"/>
    <mergeCell ref="P288:P289"/>
    <mergeCell ref="Q288:Q289"/>
    <mergeCell ref="AA37:AD37"/>
    <mergeCell ref="AA38:AD38"/>
    <mergeCell ref="T42:U42"/>
    <mergeCell ref="T43:U43"/>
    <mergeCell ref="T44:U44"/>
    <mergeCell ref="AA43:AD43"/>
    <mergeCell ref="AA44:AD44"/>
    <mergeCell ref="T37:U37"/>
    <mergeCell ref="T38:U38"/>
    <mergeCell ref="T39:U39"/>
    <mergeCell ref="T40:U40"/>
    <mergeCell ref="T41:U41"/>
  </mergeCells>
  <dataValidations disablePrompts="1" count="1">
    <dataValidation type="list" allowBlank="1" showInputMessage="1" showErrorMessage="1" sqref="D328:D458" xr:uid="{0C93DD4B-462B-4D1F-8BF6-5E6938ED806C}">
      <formula1>$B$464:$B$511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4DA0-DF98-4BA5-9007-A926897D4447}">
  <sheetPr codeName="Sheet3"/>
  <dimension ref="B4:W32"/>
  <sheetViews>
    <sheetView zoomScaleNormal="100" workbookViewId="0">
      <selection activeCell="A18" sqref="A18"/>
    </sheetView>
  </sheetViews>
  <sheetFormatPr defaultRowHeight="14.4"/>
  <cols>
    <col min="1" max="1" width="44.6640625" customWidth="1"/>
    <col min="2" max="2" width="25.6640625" customWidth="1"/>
    <col min="3" max="3" width="20.6640625" customWidth="1"/>
    <col min="12" max="12" width="9.88671875" bestFit="1" customWidth="1"/>
  </cols>
  <sheetData>
    <row r="4" spans="2:23">
      <c r="B4" s="2"/>
      <c r="C4" s="23"/>
      <c r="W4" s="2"/>
    </row>
    <row r="5" spans="2:23" ht="23.4">
      <c r="B5" s="57" t="s">
        <v>347</v>
      </c>
      <c r="C5" s="55"/>
      <c r="W5" s="2"/>
    </row>
    <row r="6" spans="2:23" ht="18">
      <c r="B6" s="54"/>
      <c r="C6" s="55"/>
      <c r="W6" s="2"/>
    </row>
    <row r="7" spans="2:23" ht="24" thickBot="1">
      <c r="B7" s="219" t="s">
        <v>391</v>
      </c>
      <c r="C7" s="55"/>
      <c r="D7" s="406" t="s">
        <v>346</v>
      </c>
      <c r="E7" s="406"/>
      <c r="F7" s="406"/>
      <c r="G7" s="406"/>
      <c r="H7" s="406"/>
      <c r="I7" s="406"/>
      <c r="J7" s="406"/>
      <c r="K7" s="406"/>
      <c r="L7" s="406"/>
      <c r="W7" s="2"/>
    </row>
    <row r="8" spans="2:23" ht="23.4">
      <c r="B8" s="234" t="s">
        <v>348</v>
      </c>
      <c r="C8" s="56"/>
      <c r="D8" s="214">
        <v>1</v>
      </c>
      <c r="E8" s="214">
        <v>2</v>
      </c>
      <c r="F8" s="214">
        <v>3</v>
      </c>
      <c r="G8" s="214">
        <v>4</v>
      </c>
      <c r="H8" s="214">
        <v>5</v>
      </c>
      <c r="I8" s="214">
        <v>6</v>
      </c>
      <c r="J8" s="214">
        <v>7</v>
      </c>
      <c r="K8" s="214">
        <v>8</v>
      </c>
      <c r="L8" s="214">
        <v>9</v>
      </c>
      <c r="W8" s="2"/>
    </row>
    <row r="9" spans="2:23" ht="21" thickBot="1">
      <c r="B9" s="212" t="s">
        <v>259</v>
      </c>
      <c r="C9" s="213">
        <f>SUM(D9:L9)</f>
        <v>0</v>
      </c>
      <c r="D9" s="227">
        <f>IF(UNOS!K14,KALKULATOR!B93,0)</f>
        <v>0</v>
      </c>
      <c r="E9" s="227">
        <f>IF(UNOS!K15,KALKULATOR!B125+KALKULATOR!C125+KALKULATOR!D125,0)</f>
        <v>0</v>
      </c>
      <c r="F9" s="227">
        <f>IF(UNOS!K16,KALKULATOR!E125+KALKULATOR!F125,0)</f>
        <v>0</v>
      </c>
      <c r="G9" s="227" t="s">
        <v>2</v>
      </c>
      <c r="H9" s="227" t="s">
        <v>2</v>
      </c>
      <c r="I9" s="227" t="s">
        <v>2</v>
      </c>
      <c r="J9" s="227" t="s">
        <v>2</v>
      </c>
      <c r="K9" s="227">
        <f>IF(UNOS!K21,KALKULATOR!B266,0)</f>
        <v>0</v>
      </c>
      <c r="L9" s="227" t="s">
        <v>2</v>
      </c>
      <c r="M9" s="58" t="s">
        <v>349</v>
      </c>
    </row>
    <row r="10" spans="2:23" ht="23.4">
      <c r="B10" s="234" t="s">
        <v>489</v>
      </c>
      <c r="C10" s="56"/>
      <c r="D10" s="232"/>
      <c r="E10" s="232"/>
      <c r="F10" s="232"/>
      <c r="G10" s="232"/>
      <c r="H10" s="232"/>
      <c r="I10" s="232"/>
      <c r="J10" s="232"/>
      <c r="K10" s="232"/>
      <c r="L10" s="232"/>
      <c r="M10" s="59"/>
      <c r="W10" s="2"/>
    </row>
    <row r="11" spans="2:23" ht="21" thickBot="1">
      <c r="B11" s="212" t="s">
        <v>259</v>
      </c>
      <c r="C11" s="213">
        <f>SUM(D11:L11)</f>
        <v>0</v>
      </c>
      <c r="D11" s="227">
        <f>IF(UNOS!K14,KALKULATOR!B94,0)</f>
        <v>0</v>
      </c>
      <c r="E11" s="227">
        <f>IF(UNOS!K15,KALKULATOR!B126+KALKULATOR!C126+KALKULATOR!D126,0)</f>
        <v>0</v>
      </c>
      <c r="F11" s="227">
        <f>IF(UNOS!K16,KALKULATOR!E126+KALKULATOR!F126,0)</f>
        <v>0</v>
      </c>
      <c r="G11" s="227">
        <f>IF(UNOS!K17,KALKULATOR!B166,0)</f>
        <v>0</v>
      </c>
      <c r="H11" s="227">
        <f>IF(UNOS!K18,KALKULATOR!B184,0)</f>
        <v>0</v>
      </c>
      <c r="I11" s="227">
        <f>IF(UNOS!K19,KALKULATOR!B203,0)</f>
        <v>0</v>
      </c>
      <c r="J11" s="227">
        <f>IF(UNOS!K20,KALKULATOR!B223,0)</f>
        <v>0</v>
      </c>
      <c r="K11" s="227">
        <f>IF(UNOS!K21,KALKULATOR!B270,0)</f>
        <v>0</v>
      </c>
      <c r="L11" s="227">
        <f>IF(UNOS!K22,KALKULATOR!B297,0)</f>
        <v>0</v>
      </c>
      <c r="M11" s="58" t="s">
        <v>188</v>
      </c>
    </row>
    <row r="12" spans="2:23" ht="23.4">
      <c r="B12" s="234" t="s">
        <v>160</v>
      </c>
      <c r="C12" s="56"/>
      <c r="D12" s="226"/>
      <c r="E12" s="226"/>
      <c r="F12" s="226"/>
      <c r="G12" s="226"/>
      <c r="H12" s="226"/>
      <c r="I12" s="226"/>
      <c r="J12" s="226"/>
      <c r="K12" s="226"/>
      <c r="L12" s="226"/>
      <c r="M12" s="59"/>
      <c r="W12" s="2"/>
    </row>
    <row r="13" spans="2:23" ht="21" thickBot="1">
      <c r="B13" s="212" t="s">
        <v>259</v>
      </c>
      <c r="C13" s="213">
        <f>SUM(D13:L13)</f>
        <v>0</v>
      </c>
      <c r="D13" s="227">
        <f>IF(UNOS!K14,KALKULATOR!B95,0)</f>
        <v>0</v>
      </c>
      <c r="E13" s="227">
        <f>IF(UNOS!K15,KALKULATOR!B127+KALKULATOR!C127+KALKULATOR!D127,0)</f>
        <v>0</v>
      </c>
      <c r="F13" s="227">
        <f>IF(UNOS!K16,KALKULATOR!E127+KALKULATOR!F127,0)</f>
        <v>0</v>
      </c>
      <c r="G13" s="227">
        <f>IF(UNOS!K17,KALKULATOR!B169,0)</f>
        <v>0</v>
      </c>
      <c r="H13" s="227">
        <f>IF(UNOS!K18,KALKULATOR!B187,0)</f>
        <v>0</v>
      </c>
      <c r="I13" s="227">
        <f>IF(UNOS!K19,KALKULATOR!B206,0)</f>
        <v>0</v>
      </c>
      <c r="J13" s="227">
        <f>IF(UNOS!K20,KALKULATOR!B226,0)</f>
        <v>0</v>
      </c>
      <c r="K13" s="227">
        <f>IF(UNOS!K21,KALKULATOR!B274,0)</f>
        <v>0</v>
      </c>
      <c r="L13" s="227">
        <f>IF(UNOS!K22,KALKULATOR!B301,0)</f>
        <v>0</v>
      </c>
      <c r="M13" s="58" t="s">
        <v>205</v>
      </c>
    </row>
    <row r="14" spans="2:23" ht="23.4">
      <c r="B14" s="234" t="s">
        <v>257</v>
      </c>
      <c r="C14" s="56"/>
      <c r="D14" s="232"/>
      <c r="E14" s="232"/>
      <c r="F14" s="232"/>
      <c r="G14" s="232"/>
      <c r="H14" s="232"/>
      <c r="I14" s="232"/>
      <c r="J14" s="232"/>
      <c r="K14" s="232"/>
      <c r="L14" s="232"/>
      <c r="M14" s="59"/>
      <c r="W14" s="2"/>
    </row>
    <row r="15" spans="2:23" ht="18.600000000000001" thickBot="1">
      <c r="B15" s="212" t="s">
        <v>430</v>
      </c>
      <c r="C15" s="213">
        <f>SUM(D15:L15)</f>
        <v>0</v>
      </c>
      <c r="D15" s="227">
        <f>IF(UNOS!K14,KALKULATOR!B96,0)</f>
        <v>0</v>
      </c>
      <c r="E15" s="227">
        <f>IF(UNOS!K15,KALKULATOR!B128+KALKULATOR!C128+KALKULATOR!D128,0)</f>
        <v>0</v>
      </c>
      <c r="F15" s="227">
        <f>IF(UNOS!K16,KALKULATOR!E128+KALKULATOR!F128,0)</f>
        <v>0</v>
      </c>
      <c r="G15" s="227">
        <f>IF(UNOS!K17,KALKULATOR!B171,0)</f>
        <v>0</v>
      </c>
      <c r="H15" s="227">
        <f>IF(UNOS!K18,KALKULATOR!B189,0)</f>
        <v>0</v>
      </c>
      <c r="I15" s="227">
        <f>IF(UNOS!K19,KALKULATOR!B208,0)</f>
        <v>0</v>
      </c>
      <c r="J15" s="227">
        <f>IF(UNOS!K20,KALKULATOR!B228,0)</f>
        <v>0</v>
      </c>
      <c r="K15" s="227">
        <f>IF(UNOS!K21,KALKULATOR!B278,0)</f>
        <v>0</v>
      </c>
      <c r="L15" s="227">
        <f>IF(UNOS!K22,KALKULATOR!B305,0)</f>
        <v>0</v>
      </c>
      <c r="M15" s="58" t="s">
        <v>209</v>
      </c>
    </row>
    <row r="16" spans="2:23" ht="27">
      <c r="B16" s="234" t="s">
        <v>258</v>
      </c>
      <c r="C16" s="56"/>
      <c r="D16" s="232"/>
      <c r="E16" s="232"/>
      <c r="F16" s="232"/>
      <c r="G16" s="232"/>
      <c r="H16" s="232"/>
      <c r="I16" s="232"/>
      <c r="J16" s="232"/>
      <c r="K16" s="232"/>
      <c r="L16" s="232"/>
      <c r="M16" s="59"/>
      <c r="W16" s="2"/>
    </row>
    <row r="17" spans="2:23" ht="18.600000000000001" thickBot="1">
      <c r="B17" s="212" t="s">
        <v>431</v>
      </c>
      <c r="C17" s="213">
        <f>SUM(D17:L17)</f>
        <v>0</v>
      </c>
      <c r="D17" s="227">
        <f>IF(UNOS!K14,KALKULATOR!B97,0)</f>
        <v>0</v>
      </c>
      <c r="E17" s="227">
        <f>IF(UNOS!K15,KALKULATOR!B129+KALKULATOR!C129+KALKULATOR!D129,0)</f>
        <v>0</v>
      </c>
      <c r="F17" s="227">
        <f>IF(UNOS!K16,KALKULATOR!E129+KALKULATOR!F129,0)</f>
        <v>0</v>
      </c>
      <c r="G17" s="227">
        <f>IF(UNOS!K17,KALKULATOR!B172,0)</f>
        <v>0</v>
      </c>
      <c r="H17" s="227">
        <f>IF(UNOS!K18,KALKULATOR!B190,0)</f>
        <v>0</v>
      </c>
      <c r="I17" s="227">
        <f>IF(UNOS!K19,KALKULATOR!B209,0)</f>
        <v>0</v>
      </c>
      <c r="J17" s="227">
        <f>IF(UNOS!K20,KALKULATOR!B229,0)</f>
        <v>0</v>
      </c>
      <c r="K17" s="227">
        <f>IF(UNOS!K21,KALKULATOR!B281,0)</f>
        <v>0</v>
      </c>
      <c r="L17" s="227">
        <f>IF(UNOS!K22,KALKULATOR!B308,0)</f>
        <v>0</v>
      </c>
      <c r="M17" s="58" t="s">
        <v>210</v>
      </c>
    </row>
    <row r="18" spans="2:23" ht="23.4">
      <c r="B18" s="234" t="s">
        <v>395</v>
      </c>
      <c r="C18" s="56"/>
      <c r="D18" s="226"/>
      <c r="E18" s="226"/>
      <c r="F18" s="226"/>
      <c r="G18" s="226"/>
      <c r="H18" s="226"/>
      <c r="I18" s="226"/>
      <c r="J18" s="226"/>
      <c r="K18" s="226"/>
      <c r="L18" s="226"/>
      <c r="M18" s="59"/>
      <c r="W18" s="2"/>
    </row>
    <row r="19" spans="2:23" ht="21" thickBot="1">
      <c r="B19" s="212" t="s">
        <v>259</v>
      </c>
      <c r="C19" s="213">
        <f>SUM(D19:L19)</f>
        <v>0</v>
      </c>
      <c r="D19" s="227" t="s">
        <v>2</v>
      </c>
      <c r="E19" s="227" t="s">
        <v>2</v>
      </c>
      <c r="F19" s="227" t="s">
        <v>2</v>
      </c>
      <c r="G19" s="227" t="s">
        <v>2</v>
      </c>
      <c r="H19" s="227">
        <f>KALKULATOR!B191</f>
        <v>0</v>
      </c>
      <c r="I19" s="227" t="s">
        <v>2</v>
      </c>
      <c r="J19" s="227" t="s">
        <v>2</v>
      </c>
      <c r="K19" s="227">
        <f>IF(UNOS!K21,KALKULATOR!B282,0)</f>
        <v>0</v>
      </c>
      <c r="L19" s="227">
        <f>IF(UNOS!K22,KALKULATOR!B309,0)</f>
        <v>0</v>
      </c>
      <c r="M19" s="58" t="s">
        <v>491</v>
      </c>
    </row>
    <row r="20" spans="2:23" ht="23.4">
      <c r="B20" s="234" t="s">
        <v>428</v>
      </c>
      <c r="C20" s="56"/>
      <c r="D20" s="226"/>
      <c r="E20" s="226"/>
      <c r="F20" s="226"/>
      <c r="G20" s="226"/>
      <c r="H20" s="226"/>
      <c r="I20" s="226"/>
      <c r="J20" s="226"/>
      <c r="K20" s="226"/>
      <c r="L20" s="226"/>
      <c r="M20" s="59"/>
      <c r="W20" s="2"/>
    </row>
    <row r="21" spans="2:23" ht="21" thickBot="1">
      <c r="B21" s="212" t="s">
        <v>429</v>
      </c>
      <c r="C21" s="213">
        <f>SUM(D21:L21)</f>
        <v>0</v>
      </c>
      <c r="D21" s="227" t="s">
        <v>2</v>
      </c>
      <c r="E21" s="227" t="s">
        <v>2</v>
      </c>
      <c r="F21" s="227" t="s">
        <v>2</v>
      </c>
      <c r="G21" s="227" t="s">
        <v>2</v>
      </c>
      <c r="H21" s="227">
        <f>IF(UNOS!K18,UNOS!C131,0)</f>
        <v>0</v>
      </c>
      <c r="I21" s="227" t="s">
        <v>2</v>
      </c>
      <c r="J21" s="227" t="s">
        <v>2</v>
      </c>
      <c r="K21" s="233">
        <f>IF(UNOS!K21,KALKULATOR!B263,0)</f>
        <v>0</v>
      </c>
      <c r="L21" s="233">
        <f>IF(UNOS!K22,KALKULATOR!B292,0)</f>
        <v>0</v>
      </c>
      <c r="M21" s="58" t="s">
        <v>394</v>
      </c>
    </row>
    <row r="22" spans="2:23" ht="23.4">
      <c r="B22" s="234" t="s">
        <v>393</v>
      </c>
      <c r="C22" s="56"/>
      <c r="D22" s="226"/>
      <c r="E22" s="226"/>
      <c r="F22" s="226"/>
      <c r="G22" s="226"/>
      <c r="H22" s="226"/>
      <c r="I22" s="226"/>
      <c r="J22" s="226"/>
      <c r="K22" s="226"/>
      <c r="L22" s="226"/>
      <c r="M22" s="59"/>
    </row>
    <row r="23" spans="2:23" ht="18.600000000000001" thickBot="1">
      <c r="B23" s="212" t="s">
        <v>405</v>
      </c>
      <c r="C23" s="213">
        <f>SUM(D23:L23)</f>
        <v>0</v>
      </c>
      <c r="D23" s="227">
        <f>IF(UNOS!K14,IF(D25&gt;0,UNOS!C73,0),0)</f>
        <v>0</v>
      </c>
      <c r="E23" s="227">
        <f>IF(UNOS!K15,UNOS!K124,0)</f>
        <v>0</v>
      </c>
      <c r="F23" s="227">
        <f>IF(UNOS!K16,UNOS!L124,0)</f>
        <v>0</v>
      </c>
      <c r="G23" s="227">
        <f>IF(UNOS!K17,UNOS!C127,0)</f>
        <v>0</v>
      </c>
      <c r="H23" s="227">
        <f>IF(UNOS!K18,UNOS!C127,0)</f>
        <v>0</v>
      </c>
      <c r="I23" s="227">
        <f>IF(UNOS!K19,UNOS!C127,0)</f>
        <v>0</v>
      </c>
      <c r="J23" s="227">
        <f>IF(UNOS!K20,UNOS!C149,0)</f>
        <v>0</v>
      </c>
      <c r="K23" s="227">
        <f>IF(UNOS!K21,UNOS!C173,0)</f>
        <v>0</v>
      </c>
      <c r="L23" s="227">
        <f>IF(UNOS!K22,UNOS!C186,0)</f>
        <v>0</v>
      </c>
      <c r="M23" s="58" t="s">
        <v>406</v>
      </c>
    </row>
    <row r="24" spans="2:23" ht="23.4">
      <c r="B24" s="234" t="s">
        <v>401</v>
      </c>
      <c r="C24" s="56"/>
      <c r="D24" s="226" t="s">
        <v>409</v>
      </c>
      <c r="E24" s="226" t="s">
        <v>409</v>
      </c>
      <c r="F24" s="226" t="s">
        <v>409</v>
      </c>
      <c r="G24" s="226" t="s">
        <v>1</v>
      </c>
      <c r="H24" s="226" t="s">
        <v>1</v>
      </c>
      <c r="I24" s="226" t="s">
        <v>1</v>
      </c>
      <c r="J24" s="226" t="s">
        <v>1</v>
      </c>
      <c r="K24" s="226" t="s">
        <v>1</v>
      </c>
      <c r="L24" s="226" t="s">
        <v>410</v>
      </c>
      <c r="M24" s="59"/>
      <c r="W24" s="2"/>
    </row>
    <row r="25" spans="2:23" ht="20.399999999999999" thickBot="1">
      <c r="B25" s="212" t="s">
        <v>403</v>
      </c>
      <c r="C25" s="213" t="s">
        <v>2</v>
      </c>
      <c r="D25" s="227">
        <f>IF(UNOS!K14,UNOS!F60+UNOS!F69,0)</f>
        <v>0</v>
      </c>
      <c r="E25" s="227">
        <f>IF(UNOS!K15,UNOS!E119+UNOS!F119+UNOS!G119,0)</f>
        <v>0</v>
      </c>
      <c r="F25" s="227">
        <f>IF(UNOS!K16,UNOS!H119+UNOS!I119,0)</f>
        <v>0</v>
      </c>
      <c r="G25" s="227">
        <f>IF(UNOS!K17,UNOS!C131,0)</f>
        <v>0</v>
      </c>
      <c r="H25" s="227">
        <f>IF(UNOS!K18,UNOS!C131,0)</f>
        <v>0</v>
      </c>
      <c r="I25" s="227">
        <f>IF(UNOS!K19,UNOS!C131,0)</f>
        <v>0</v>
      </c>
      <c r="J25" s="227">
        <f>IF(UNOS!K20,MAX(G25:I25),0)</f>
        <v>0</v>
      </c>
      <c r="K25" s="233">
        <f>IF(UNOS!K21,KALKULATOR!B263,0)</f>
        <v>0</v>
      </c>
      <c r="L25" s="233">
        <f>IF(UNOS!K22,KALKULATOR!B292,0)</f>
        <v>0</v>
      </c>
      <c r="M25" s="58" t="s">
        <v>404</v>
      </c>
    </row>
    <row r="26" spans="2:23" ht="23.4">
      <c r="B26" s="234" t="s">
        <v>407</v>
      </c>
      <c r="C26" s="56"/>
      <c r="D26" s="226" t="str">
        <f>CONCATENATE("рсд/",D24)</f>
        <v>рсд/m2</v>
      </c>
      <c r="E26" s="226" t="str">
        <f t="shared" ref="E26:L26" si="0">CONCATENATE("рсд/",E24)</f>
        <v>рсд/m2</v>
      </c>
      <c r="F26" s="226" t="str">
        <f t="shared" si="0"/>
        <v>рсд/m2</v>
      </c>
      <c r="G26" s="226" t="str">
        <f t="shared" si="0"/>
        <v>рсд/kW</v>
      </c>
      <c r="H26" s="226" t="str">
        <f t="shared" si="0"/>
        <v>рсд/kW</v>
      </c>
      <c r="I26" s="226" t="str">
        <f t="shared" si="0"/>
        <v>рсд/kW</v>
      </c>
      <c r="J26" s="226" t="str">
        <f t="shared" si="0"/>
        <v>рсд/kW</v>
      </c>
      <c r="K26" s="226" t="str">
        <f t="shared" si="0"/>
        <v>рсд/kW</v>
      </c>
      <c r="L26" s="226" t="str">
        <f t="shared" si="0"/>
        <v>рсд/kWp</v>
      </c>
      <c r="M26" s="59"/>
    </row>
    <row r="27" spans="2:23" ht="20.399999999999999" thickBot="1">
      <c r="B27" s="212" t="s">
        <v>408</v>
      </c>
      <c r="C27" s="213" t="s">
        <v>2</v>
      </c>
      <c r="D27" s="215">
        <f>IF(D25=0,0,D23/D25)</f>
        <v>0</v>
      </c>
      <c r="E27" s="215">
        <f t="shared" ref="E27:L27" si="1">IF(E25=0,0,E23/E25)</f>
        <v>0</v>
      </c>
      <c r="F27" s="215">
        <f t="shared" si="1"/>
        <v>0</v>
      </c>
      <c r="G27" s="215">
        <f t="shared" si="1"/>
        <v>0</v>
      </c>
      <c r="H27" s="215">
        <f t="shared" si="1"/>
        <v>0</v>
      </c>
      <c r="I27" s="215">
        <f t="shared" si="1"/>
        <v>0</v>
      </c>
      <c r="J27" s="215">
        <f t="shared" si="1"/>
        <v>0</v>
      </c>
      <c r="K27" s="215">
        <f t="shared" si="1"/>
        <v>0</v>
      </c>
      <c r="L27" s="215">
        <f t="shared" si="1"/>
        <v>0</v>
      </c>
      <c r="M27" s="58" t="s">
        <v>412</v>
      </c>
    </row>
    <row r="32" spans="2:23">
      <c r="C32" s="218"/>
    </row>
  </sheetData>
  <sheetProtection algorithmName="SHA-512" hashValue="4tmUKorVO77Ps7eNQhoyGdEIWVleNWwFzpgHe7mtv5SArvuwyYBmoR8hUHUE9ECQ/bUX1KtWLC/YugtPVh45aw==" saltValue="lp/gfcldYNXN87S3c/4u1w==" spinCount="100000" sheet="1" objects="1" scenarios="1"/>
  <mergeCells count="1">
    <mergeCell ref="D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UNOS</vt:lpstr>
      <vt:lpstr>KALKULATOR</vt:lpstr>
      <vt:lpstr>USTEDA</vt:lpstr>
      <vt:lpstr>UNOS!Print_Area</vt:lpstr>
    </vt:vector>
  </TitlesOfParts>
  <Manager>Šef Sale</Manager>
  <Company>MRE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UŠTEDA TOPLOTNE ENERGIJE</dc:title>
  <dc:creator>Sava Stuparevic;Živojin Stuparević</dc:creator>
  <cp:lastModifiedBy>Živojin Stuparević</cp:lastModifiedBy>
  <cp:lastPrinted>2023-09-26T12:36:48Z</cp:lastPrinted>
  <dcterms:created xsi:type="dcterms:W3CDTF">2023-06-05T14:49:33Z</dcterms:created>
  <dcterms:modified xsi:type="dcterms:W3CDTF">2024-01-30T09:53:50Z</dcterms:modified>
  <cp:version>DRAFT</cp:version>
</cp:coreProperties>
</file>